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keting2\AppData\Local\Microsoft\Windows\INetCache\Content.Outlook\I6PQSKZ2\"/>
    </mc:Choice>
  </mc:AlternateContent>
  <xr:revisionPtr revIDLastSave="0" documentId="13_ncr:1_{A61E2EDD-F219-47B5-AF37-219095A9B84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rder Form" sheetId="6" r:id="rId1"/>
    <sheet name="Swings" sheetId="2" r:id="rId2"/>
    <sheet name="Locksets" sheetId="3" r:id="rId3"/>
    <sheet name="Formulas" sheetId="7" r:id="rId4"/>
    <sheet name="Cutting Sheet" sheetId="4" r:id="rId5"/>
  </sheets>
  <definedNames>
    <definedName name="Check14" localSheetId="1">Swings!$A$2</definedName>
    <definedName name="Check15" localSheetId="1">Swings!$O$3</definedName>
    <definedName name="Check16" localSheetId="1">Swings!$A$16</definedName>
    <definedName name="Check17" localSheetId="1">Swings!$O$16</definedName>
    <definedName name="Check18" localSheetId="1">Swings!$A$27</definedName>
    <definedName name="Check19" localSheetId="1">Swings!$O$27</definedName>
    <definedName name="_xlnm.Print_Area" localSheetId="4">'Cutting Sheet'!$A$1:$I$137</definedName>
    <definedName name="_xlnm.Print_Area" localSheetId="3">Formulas!$A$1:$O$49</definedName>
    <definedName name="_xlnm.Print_Area" localSheetId="0">'Order Form'!$A$1:$M$24</definedName>
    <definedName name="_xlnm.Print_Titles" localSheetId="4">'Cutting Sheet'!$1:$1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0" i="4" l="1"/>
  <c r="B115" i="4"/>
  <c r="B100" i="4"/>
  <c r="B85" i="4"/>
  <c r="B70" i="4"/>
  <c r="B55" i="4"/>
  <c r="B40" i="4"/>
  <c r="A10" i="4"/>
  <c r="B10" i="4"/>
  <c r="I125" i="4"/>
  <c r="I124" i="4"/>
  <c r="E124" i="4"/>
  <c r="C124" i="4"/>
  <c r="I110" i="4"/>
  <c r="I109" i="4"/>
  <c r="E109" i="4"/>
  <c r="C109" i="4"/>
  <c r="I95" i="4"/>
  <c r="I94" i="4"/>
  <c r="E94" i="4"/>
  <c r="C94" i="4"/>
  <c r="I123" i="4"/>
  <c r="I108" i="4"/>
  <c r="I93" i="4"/>
  <c r="C123" i="4"/>
  <c r="C108" i="4"/>
  <c r="C93" i="4"/>
  <c r="A100" i="4"/>
  <c r="A105" i="4"/>
  <c r="A130" i="4"/>
  <c r="A135" i="4"/>
  <c r="A115" i="4"/>
  <c r="A120" i="4"/>
  <c r="I80" i="4"/>
  <c r="I65" i="4"/>
  <c r="I50" i="4"/>
  <c r="I35" i="4"/>
  <c r="I20" i="4"/>
  <c r="I4" i="4"/>
  <c r="I5" i="4"/>
  <c r="A85" i="4"/>
  <c r="A70" i="4"/>
  <c r="A55" i="4"/>
  <c r="A40" i="4"/>
  <c r="A25" i="4"/>
  <c r="G104" i="4" l="1"/>
  <c r="E104" i="4"/>
  <c r="C104" i="4"/>
  <c r="B104" i="4"/>
  <c r="A104" i="4"/>
  <c r="G103" i="4"/>
  <c r="E103" i="4"/>
  <c r="C103" i="4"/>
  <c r="B103" i="4"/>
  <c r="A103" i="4"/>
  <c r="G102" i="4"/>
  <c r="E102" i="4"/>
  <c r="C102" i="4"/>
  <c r="B102" i="4"/>
  <c r="A102" i="4"/>
  <c r="G99" i="4"/>
  <c r="B99" i="4"/>
  <c r="C99" i="4" s="1"/>
  <c r="E99" i="4" s="1"/>
  <c r="A99" i="4"/>
  <c r="I99" i="4" s="1"/>
  <c r="G98" i="4"/>
  <c r="B98" i="4"/>
  <c r="C98" i="4" s="1"/>
  <c r="E98" i="4" s="1"/>
  <c r="A98" i="4"/>
  <c r="I98" i="4" s="1"/>
  <c r="I105" i="4"/>
  <c r="I103" i="4"/>
  <c r="I102" i="4"/>
  <c r="G105" i="4"/>
  <c r="E105" i="4"/>
  <c r="C105" i="4"/>
  <c r="B105" i="4"/>
  <c r="A106" i="4"/>
  <c r="I106" i="4" s="1"/>
  <c r="I100" i="4"/>
  <c r="E100" i="4"/>
  <c r="C100" i="4"/>
  <c r="G134" i="4"/>
  <c r="E134" i="4"/>
  <c r="C134" i="4"/>
  <c r="B134" i="4"/>
  <c r="A134" i="4"/>
  <c r="G133" i="4"/>
  <c r="E133" i="4"/>
  <c r="C133" i="4"/>
  <c r="B133" i="4"/>
  <c r="A133" i="4"/>
  <c r="G132" i="4"/>
  <c r="E132" i="4"/>
  <c r="C132" i="4"/>
  <c r="B132" i="4"/>
  <c r="A132" i="4"/>
  <c r="G129" i="4"/>
  <c r="B129" i="4"/>
  <c r="C129" i="4" s="1"/>
  <c r="E129" i="4" s="1"/>
  <c r="A129" i="4"/>
  <c r="I129" i="4" s="1"/>
  <c r="G128" i="4"/>
  <c r="B128" i="4"/>
  <c r="C128" i="4" s="1"/>
  <c r="E128" i="4" s="1"/>
  <c r="A128" i="4"/>
  <c r="I128" i="4" s="1"/>
  <c r="I135" i="4"/>
  <c r="I134" i="4"/>
  <c r="I133" i="4"/>
  <c r="I132" i="4"/>
  <c r="G135" i="4"/>
  <c r="E135" i="4"/>
  <c r="C135" i="4"/>
  <c r="B135" i="4"/>
  <c r="I136" i="4"/>
  <c r="A136" i="4"/>
  <c r="I130" i="4"/>
  <c r="E130" i="4"/>
  <c r="C130" i="4"/>
  <c r="G119" i="4"/>
  <c r="E119" i="4"/>
  <c r="C119" i="4"/>
  <c r="B119" i="4"/>
  <c r="A119" i="4"/>
  <c r="G118" i="4"/>
  <c r="E118" i="4"/>
  <c r="C118" i="4"/>
  <c r="B118" i="4"/>
  <c r="A118" i="4"/>
  <c r="G117" i="4"/>
  <c r="E117" i="4"/>
  <c r="C117" i="4"/>
  <c r="B117" i="4"/>
  <c r="A117" i="4"/>
  <c r="G114" i="4"/>
  <c r="B114" i="4"/>
  <c r="C114" i="4" s="1"/>
  <c r="E114" i="4" s="1"/>
  <c r="A114" i="4"/>
  <c r="I114" i="4" s="1"/>
  <c r="G113" i="4"/>
  <c r="B113" i="4"/>
  <c r="C113" i="4" s="1"/>
  <c r="E113" i="4" s="1"/>
  <c r="A113" i="4"/>
  <c r="I113" i="4" s="1"/>
  <c r="I120" i="4"/>
  <c r="I119" i="4"/>
  <c r="I117" i="4"/>
  <c r="I118" i="4" s="1"/>
  <c r="G120" i="4"/>
  <c r="E120" i="4"/>
  <c r="C120" i="4"/>
  <c r="B120" i="4"/>
  <c r="A121" i="4"/>
  <c r="I121" i="4" s="1"/>
  <c r="I115" i="4"/>
  <c r="E115" i="4"/>
  <c r="C115" i="4"/>
  <c r="E10" i="4"/>
  <c r="C3" i="4"/>
  <c r="A16" i="4" s="1"/>
  <c r="C78" i="4"/>
  <c r="A91" i="4" s="1"/>
  <c r="C63" i="4"/>
  <c r="A76" i="4" s="1"/>
  <c r="C48" i="4"/>
  <c r="A61" i="4" s="1"/>
  <c r="C33" i="4"/>
  <c r="A46" i="4" s="1"/>
  <c r="C18" i="4"/>
  <c r="A31" i="4" s="1"/>
  <c r="I18" i="4"/>
  <c r="B25" i="4"/>
  <c r="I79" i="4"/>
  <c r="I64" i="4"/>
  <c r="I49" i="4"/>
  <c r="I19" i="4"/>
  <c r="I34" i="4"/>
  <c r="E79" i="4"/>
  <c r="C79" i="4"/>
  <c r="I78" i="4"/>
  <c r="B89" i="4"/>
  <c r="E64" i="4"/>
  <c r="C64" i="4"/>
  <c r="I63" i="4"/>
  <c r="C74" i="4"/>
  <c r="E49" i="4"/>
  <c r="C49" i="4"/>
  <c r="I48" i="4"/>
  <c r="A54" i="4"/>
  <c r="I54" i="4" s="1"/>
  <c r="E34" i="4"/>
  <c r="C34" i="4"/>
  <c r="I33" i="4"/>
  <c r="E43" i="4"/>
  <c r="E19" i="4"/>
  <c r="C19" i="4"/>
  <c r="G24" i="4"/>
  <c r="I104" i="4" l="1"/>
  <c r="G106" i="4"/>
  <c r="E106" i="4"/>
  <c r="C106" i="4"/>
  <c r="B106" i="4"/>
  <c r="G136" i="4"/>
  <c r="E136" i="4"/>
  <c r="C136" i="4"/>
  <c r="B136" i="4"/>
  <c r="I31" i="4"/>
  <c r="G31" i="4"/>
  <c r="E31" i="4"/>
  <c r="C31" i="4"/>
  <c r="B31" i="4"/>
  <c r="I46" i="4"/>
  <c r="G46" i="4"/>
  <c r="E46" i="4"/>
  <c r="C46" i="4"/>
  <c r="B46" i="4"/>
  <c r="I61" i="4"/>
  <c r="G61" i="4"/>
  <c r="E61" i="4"/>
  <c r="C61" i="4"/>
  <c r="B61" i="4"/>
  <c r="I76" i="4"/>
  <c r="G76" i="4"/>
  <c r="E76" i="4"/>
  <c r="C76" i="4"/>
  <c r="B76" i="4"/>
  <c r="I91" i="4"/>
  <c r="G91" i="4"/>
  <c r="E91" i="4"/>
  <c r="C91" i="4"/>
  <c r="B91" i="4"/>
  <c r="G121" i="4"/>
  <c r="E121" i="4"/>
  <c r="C121" i="4"/>
  <c r="B121" i="4"/>
  <c r="G16" i="4"/>
  <c r="C16" i="4"/>
  <c r="B16" i="4"/>
  <c r="E40" i="4"/>
  <c r="E25" i="4"/>
  <c r="I25" i="4"/>
  <c r="C25" i="4"/>
  <c r="I85" i="4"/>
  <c r="E85" i="4"/>
  <c r="C85" i="4"/>
  <c r="I70" i="4"/>
  <c r="E70" i="4"/>
  <c r="C70" i="4"/>
  <c r="I55" i="4"/>
  <c r="E55" i="4"/>
  <c r="C55" i="4"/>
  <c r="I40" i="4"/>
  <c r="C40" i="4"/>
  <c r="I10" i="4"/>
  <c r="C10" i="4"/>
  <c r="B87" i="4"/>
  <c r="G88" i="4"/>
  <c r="A90" i="4"/>
  <c r="G90" i="4" s="1"/>
  <c r="A87" i="4"/>
  <c r="I87" i="4" s="1"/>
  <c r="A89" i="4"/>
  <c r="C87" i="4"/>
  <c r="A83" i="4"/>
  <c r="I83" i="4" s="1"/>
  <c r="E89" i="4"/>
  <c r="G87" i="4"/>
  <c r="A88" i="4"/>
  <c r="A84" i="4"/>
  <c r="I84" i="4" s="1"/>
  <c r="B88" i="4"/>
  <c r="E88" i="4"/>
  <c r="G84" i="4"/>
  <c r="C89" i="4"/>
  <c r="E87" i="4"/>
  <c r="B83" i="4"/>
  <c r="C83" i="4" s="1"/>
  <c r="E83" i="4" s="1"/>
  <c r="G89" i="4"/>
  <c r="G83" i="4"/>
  <c r="B84" i="4"/>
  <c r="C84" i="4" s="1"/>
  <c r="E84" i="4" s="1"/>
  <c r="C88" i="4"/>
  <c r="A68" i="4"/>
  <c r="I68" i="4" s="1"/>
  <c r="E73" i="4"/>
  <c r="A72" i="4"/>
  <c r="I72" i="4" s="1"/>
  <c r="G68" i="4"/>
  <c r="B69" i="4"/>
  <c r="C69" i="4" s="1"/>
  <c r="E69" i="4" s="1"/>
  <c r="B72" i="4"/>
  <c r="E72" i="4"/>
  <c r="E74" i="4"/>
  <c r="A69" i="4"/>
  <c r="I69" i="4" s="1"/>
  <c r="A73" i="4"/>
  <c r="B73" i="4"/>
  <c r="G72" i="4"/>
  <c r="B68" i="4"/>
  <c r="C68" i="4" s="1"/>
  <c r="E68" i="4" s="1"/>
  <c r="B74" i="4"/>
  <c r="G69" i="4"/>
  <c r="A74" i="4"/>
  <c r="G73" i="4"/>
  <c r="A75" i="4"/>
  <c r="G75" i="4" s="1"/>
  <c r="C72" i="4"/>
  <c r="G74" i="4"/>
  <c r="C73" i="4"/>
  <c r="A45" i="4"/>
  <c r="B45" i="4" s="1"/>
  <c r="G53" i="4"/>
  <c r="G54" i="4"/>
  <c r="C44" i="4"/>
  <c r="E57" i="4"/>
  <c r="A44" i="4"/>
  <c r="I44" i="4" s="1"/>
  <c r="A60" i="4"/>
  <c r="I60" i="4" s="1"/>
  <c r="G44" i="4"/>
  <c r="B57" i="4"/>
  <c r="B58" i="4"/>
  <c r="B38" i="4"/>
  <c r="B44" i="4"/>
  <c r="E44" i="4"/>
  <c r="B54" i="4"/>
  <c r="A57" i="4"/>
  <c r="I57" i="4" s="1"/>
  <c r="C57" i="4"/>
  <c r="G57" i="4"/>
  <c r="A58" i="4"/>
  <c r="C58" i="4"/>
  <c r="G58" i="4"/>
  <c r="B39" i="4"/>
  <c r="A42" i="4"/>
  <c r="I42" i="4" s="1"/>
  <c r="G42" i="4"/>
  <c r="A59" i="4"/>
  <c r="C59" i="4"/>
  <c r="G59" i="4"/>
  <c r="E58" i="4"/>
  <c r="A43" i="4"/>
  <c r="C43" i="4"/>
  <c r="G43" i="4"/>
  <c r="B53" i="4"/>
  <c r="A38" i="4"/>
  <c r="I38" i="4" s="1"/>
  <c r="G38" i="4"/>
  <c r="B42" i="4"/>
  <c r="E42" i="4"/>
  <c r="A53" i="4"/>
  <c r="I53" i="4" s="1"/>
  <c r="B59" i="4"/>
  <c r="E59" i="4"/>
  <c r="A39" i="4"/>
  <c r="I39" i="4" s="1"/>
  <c r="G39" i="4"/>
  <c r="B43" i="4"/>
  <c r="E29" i="4"/>
  <c r="E27" i="4"/>
  <c r="A27" i="4"/>
  <c r="I27" i="4" s="1"/>
  <c r="C27" i="4"/>
  <c r="A30" i="4"/>
  <c r="B27" i="4"/>
  <c r="B28" i="4"/>
  <c r="E28" i="4"/>
  <c r="A28" i="4"/>
  <c r="C28" i="4"/>
  <c r="G28" i="4"/>
  <c r="B29" i="4"/>
  <c r="G27" i="4"/>
  <c r="A29" i="4"/>
  <c r="C29" i="4"/>
  <c r="G29" i="4"/>
  <c r="A23" i="4"/>
  <c r="I23" i="4" s="1"/>
  <c r="A24" i="4"/>
  <c r="I24" i="4" s="1"/>
  <c r="B23" i="4"/>
  <c r="G23" i="4"/>
  <c r="B24" i="4"/>
  <c r="I3" i="4"/>
  <c r="I16" i="4" s="1"/>
  <c r="E4" i="4"/>
  <c r="E16" i="4" s="1"/>
  <c r="C4" i="4"/>
  <c r="I2" i="4"/>
  <c r="C2" i="4"/>
  <c r="B8" i="4"/>
  <c r="I30" i="4" l="1"/>
  <c r="E30" i="4"/>
  <c r="C90" i="4"/>
  <c r="E90" i="4"/>
  <c r="B90" i="4"/>
  <c r="I90" i="4"/>
  <c r="I58" i="4"/>
  <c r="I59" i="4" s="1"/>
  <c r="B75" i="4"/>
  <c r="I75" i="4"/>
  <c r="I73" i="4" s="1"/>
  <c r="I74" i="4" s="1"/>
  <c r="E75" i="4"/>
  <c r="I88" i="4"/>
  <c r="C75" i="4"/>
  <c r="E45" i="4"/>
  <c r="C45" i="4"/>
  <c r="C54" i="4"/>
  <c r="E54" i="4" s="1"/>
  <c r="C39" i="4"/>
  <c r="E39" i="4" s="1"/>
  <c r="C38" i="4"/>
  <c r="E38" i="4" s="1"/>
  <c r="C53" i="4"/>
  <c r="E53" i="4" s="1"/>
  <c r="C42" i="4"/>
  <c r="G45" i="4"/>
  <c r="I45" i="4"/>
  <c r="I43" i="4" s="1"/>
  <c r="B60" i="4"/>
  <c r="E60" i="4"/>
  <c r="G60" i="4"/>
  <c r="C60" i="4"/>
  <c r="C30" i="4"/>
  <c r="B30" i="4"/>
  <c r="G30" i="4"/>
  <c r="C24" i="4"/>
  <c r="E24" i="4" s="1"/>
  <c r="C23" i="4"/>
  <c r="E23" i="4" s="1"/>
  <c r="G14" i="4"/>
  <c r="A15" i="4"/>
  <c r="I15" i="4" s="1"/>
  <c r="E12" i="4"/>
  <c r="E13" i="4"/>
  <c r="G8" i="4"/>
  <c r="E14" i="4"/>
  <c r="G9" i="4"/>
  <c r="C12" i="4"/>
  <c r="G12" i="4"/>
  <c r="C13" i="4"/>
  <c r="G13" i="4"/>
  <c r="C14" i="4"/>
  <c r="A9" i="4"/>
  <c r="I9" i="4" s="1"/>
  <c r="A13" i="4"/>
  <c r="B12" i="4"/>
  <c r="B13" i="4"/>
  <c r="A8" i="4"/>
  <c r="I8" i="4" s="1"/>
  <c r="A12" i="4"/>
  <c r="I12" i="4" s="1"/>
  <c r="A14" i="4"/>
  <c r="I14" i="4" s="1"/>
  <c r="B9" i="4"/>
  <c r="B14" i="4"/>
  <c r="F7" i="6"/>
  <c r="I89" i="4" l="1"/>
  <c r="C9" i="4"/>
  <c r="E9" i="4" s="1"/>
  <c r="I28" i="4"/>
  <c r="I29" i="4" s="1"/>
  <c r="I13" i="4"/>
  <c r="B15" i="4"/>
  <c r="E15" i="4"/>
  <c r="C15" i="4"/>
  <c r="G15" i="4"/>
  <c r="C8" i="4"/>
  <c r="E8" i="4" s="1"/>
</calcChain>
</file>

<file path=xl/sharedStrings.xml><?xml version="1.0" encoding="utf-8"?>
<sst xmlns="http://schemas.openxmlformats.org/spreadsheetml/2006/main" count="545" uniqueCount="231">
  <si>
    <t>DOOR #</t>
  </si>
  <si>
    <t>QTY</t>
  </si>
  <si>
    <t>HEIGHT</t>
  </si>
  <si>
    <t>WIDTH</t>
  </si>
  <si>
    <t>SWING</t>
  </si>
  <si>
    <r>
      <rPr>
        <b/>
        <sz val="10"/>
        <color theme="1"/>
        <rFont val="Arial"/>
        <family val="2"/>
      </rPr>
      <t>LOCK HEIGHT</t>
    </r>
    <r>
      <rPr>
        <sz val="10"/>
        <color theme="1"/>
        <rFont val="Arial"/>
        <family val="2"/>
      </rPr>
      <t xml:space="preserve">                            from bottom of door to centre of handle</t>
    </r>
  </si>
  <si>
    <t>PLEASE NOTE: This form MUST be completed before fabrication of your door/s can commence.</t>
  </si>
  <si>
    <t>CUSTOMER TO COMPLETE:</t>
  </si>
  <si>
    <t>COMPANY NAME:</t>
  </si>
  <si>
    <t>ORDER NUMBER:</t>
  </si>
  <si>
    <t>ORDERED BY:</t>
  </si>
  <si>
    <t>PHONE NUMBER:</t>
  </si>
  <si>
    <t>DATE:</t>
  </si>
  <si>
    <t>SALES ORDER:</t>
  </si>
  <si>
    <t>Click Here</t>
  </si>
  <si>
    <t>Click       Here</t>
  </si>
  <si>
    <t>FINISH:</t>
  </si>
  <si>
    <t>DOOR TYPE LIST</t>
  </si>
  <si>
    <t>FINISH LIST</t>
  </si>
  <si>
    <t>Click Here to Choose</t>
  </si>
  <si>
    <t>Clear Anodised</t>
  </si>
  <si>
    <t>Mill Finish</t>
  </si>
  <si>
    <t>Powder Coated</t>
  </si>
  <si>
    <t>Other:</t>
  </si>
  <si>
    <t>H</t>
  </si>
  <si>
    <t>x  W</t>
  </si>
  <si>
    <t>SECTION</t>
  </si>
  <si>
    <t>FORMULA</t>
  </si>
  <si>
    <t>CUTTING SIZE</t>
  </si>
  <si>
    <t>JOB # :</t>
  </si>
  <si>
    <t>CUSTOMER NAME :</t>
  </si>
  <si>
    <t>DOOR SIZE :</t>
  </si>
  <si>
    <t>45mm x 83mm Swinging Narrow Stile</t>
  </si>
  <si>
    <t>45mm x 131mm Swinging Wide Stile</t>
  </si>
  <si>
    <t>45mm x 83mm Sliding Narrow Stile</t>
  </si>
  <si>
    <t>45mm x 131mm Sliding Wide Stile</t>
  </si>
  <si>
    <t>45mm x 83mm Pivot Narrow Stile</t>
  </si>
  <si>
    <t>45mm x 131mm Pivot Wide Stile</t>
  </si>
  <si>
    <t>PIECES</t>
  </si>
  <si>
    <t>ALUMINIUM DOOR CUTTING SHEET</t>
  </si>
  <si>
    <t>DOOR TYPE :</t>
  </si>
  <si>
    <t>MIDRAIL</t>
  </si>
  <si>
    <t>LOCK STILE</t>
  </si>
  <si>
    <t>HINGE STILE</t>
  </si>
  <si>
    <t>CHOOSE YOUR SWING</t>
  </si>
  <si>
    <t xml:space="preserve">   </t>
  </si>
  <si>
    <t xml:space="preserve">OUTSIDE </t>
  </si>
  <si>
    <t>HINGE RIGHT / SWING IN</t>
  </si>
  <si>
    <t>HINGE LEFT / SWING IN</t>
  </si>
  <si>
    <t>OUTSIDE</t>
  </si>
  <si>
    <t>HINGE LEFT / SWING OUT</t>
  </si>
  <si>
    <t>HINGE RIGHT / SWING OUT</t>
  </si>
  <si>
    <t xml:space="preserve"> LEFT HAND ACTIVE / SWING IN</t>
  </si>
  <si>
    <t>RIGHT HAND ACTIVE / SWING IN</t>
  </si>
  <si>
    <t>LEFT HAND ACTIVE / SWING OUT</t>
  </si>
  <si>
    <t>RIGHT HAND ACTIVE / SWING OUT</t>
  </si>
  <si>
    <t>LOCK SETS</t>
  </si>
  <si>
    <t>Ext. Cylinder &amp; Lever / Int. Lever Only</t>
  </si>
  <si>
    <t xml:space="preserve">External lever is ALWAYS FIXED horizontal. Entry is by key only. </t>
  </si>
  <si>
    <t>Internal operation is always by lever handle.</t>
  </si>
  <si>
    <t>External lever is locked or unlocked via the lock cylinder only.</t>
  </si>
  <si>
    <t>Ext. Cylinder &amp; Lever / Int. Cylinder &amp; Lever</t>
  </si>
  <si>
    <t xml:space="preserve">External lever and Internal lever are controlled together by </t>
  </si>
  <si>
    <t>either lock cylinder, which will lock or unlock both handles.</t>
  </si>
  <si>
    <t>Ext. Cylinder &amp; Lever / Int. Turn Snib &amp; Lever</t>
  </si>
  <si>
    <t xml:space="preserve">External lever controlled by either external lock cylinder or </t>
  </si>
  <si>
    <t>internal turn snib, which lock or unlock external handle only.</t>
  </si>
  <si>
    <t>Passage Door Set</t>
  </si>
  <si>
    <r>
      <t>Ext. Lever Only / Int. Lever Only (</t>
    </r>
    <r>
      <rPr>
        <i/>
        <sz val="10"/>
        <rFont val="Arial"/>
        <family val="2"/>
      </rPr>
      <t>No Locking</t>
    </r>
    <r>
      <rPr>
        <sz val="10"/>
        <rFont val="Arial"/>
        <family val="2"/>
      </rPr>
      <t>)</t>
    </r>
  </si>
  <si>
    <t xml:space="preserve">External lever handle on blank plate retracts latch. </t>
  </si>
  <si>
    <t>Internal lever handle on blank plate retracts latch.</t>
  </si>
  <si>
    <t>Ext. Cylinder / Int. Cylinder</t>
  </si>
  <si>
    <t xml:space="preserve">Latching is controlled by both external and internal </t>
  </si>
  <si>
    <t>lock cylinders.</t>
  </si>
  <si>
    <t>Ext. Cylinder / Int. Turn Snib</t>
  </si>
  <si>
    <t>Latching is controlled by external lock cylinder</t>
  </si>
  <si>
    <t>and internal turn snib.</t>
  </si>
  <si>
    <t>266mm FLUSH BOLT</t>
  </si>
  <si>
    <t>Lockwood Optimum Sliding Door Dbl Keyed Lock Set</t>
  </si>
  <si>
    <t>Lockwood Optimum Sliding Door Key / Snib Lock Set</t>
  </si>
  <si>
    <t>K1X</t>
  </si>
  <si>
    <t>K1Z</t>
  </si>
  <si>
    <t>K2</t>
  </si>
  <si>
    <t>K3</t>
  </si>
  <si>
    <t>K4</t>
  </si>
  <si>
    <t>OPT2</t>
  </si>
  <si>
    <t>OPT3</t>
  </si>
  <si>
    <t>FB</t>
  </si>
  <si>
    <t>600mm FLUSH BOLT</t>
  </si>
  <si>
    <t>DOOR TYPE</t>
  </si>
  <si>
    <t>Click &amp; Choose from Drop-Down Box</t>
  </si>
  <si>
    <t>COLOUR:</t>
  </si>
  <si>
    <t>PLEASE SPECIFY:</t>
  </si>
  <si>
    <t>Please Fill In As Numbers Only</t>
  </si>
  <si>
    <t>SLIDING STILES</t>
  </si>
  <si>
    <t>PIVOT STILE</t>
  </si>
  <si>
    <t>STILE 1</t>
  </si>
  <si>
    <t>STILE 2</t>
  </si>
  <si>
    <t>SDLW-45</t>
  </si>
  <si>
    <t>SDPW-45</t>
  </si>
  <si>
    <t>SDWW-45</t>
  </si>
  <si>
    <t>SDPN-45</t>
  </si>
  <si>
    <t>SDWN-45</t>
  </si>
  <si>
    <t>SDLN-45</t>
  </si>
  <si>
    <t>SDHN-45</t>
  </si>
  <si>
    <t>SDHW-45</t>
  </si>
  <si>
    <t>MACHINING</t>
  </si>
  <si>
    <t>QTY:</t>
  </si>
  <si>
    <t>MIDRAIL:</t>
  </si>
  <si>
    <t>Floor Guide Cut Out Both Ends</t>
  </si>
  <si>
    <t>Heigh = Height</t>
  </si>
  <si>
    <t>Rail 1</t>
  </si>
  <si>
    <t>Rail 2</t>
  </si>
  <si>
    <t>Rail 3</t>
  </si>
  <si>
    <t>Rail 4</t>
  </si>
  <si>
    <t>RAILS</t>
  </si>
  <si>
    <t>BEADS</t>
  </si>
  <si>
    <t>BOTTOM RAIL</t>
  </si>
  <si>
    <t>TOP RAIL</t>
  </si>
  <si>
    <t>SDR-45</t>
  </si>
  <si>
    <t>SDB-45</t>
  </si>
  <si>
    <t>SDSR-45</t>
  </si>
  <si>
    <t>SDMR-45</t>
  </si>
  <si>
    <t>Width -164</t>
  </si>
  <si>
    <t>Width -164.5</t>
  </si>
  <si>
    <t>Width -260</t>
  </si>
  <si>
    <t>Width -260.5</t>
  </si>
  <si>
    <r>
      <rPr>
        <b/>
        <sz val="10"/>
        <color theme="1"/>
        <rFont val="Arial"/>
        <family val="2"/>
      </rPr>
      <t>MIDRAIL HEIGHT</t>
    </r>
    <r>
      <rPr>
        <sz val="10"/>
        <color theme="1"/>
        <rFont val="Arial"/>
        <family val="2"/>
      </rPr>
      <t xml:space="preserve">                           from bottom of door to centre of rail</t>
    </r>
  </si>
  <si>
    <t>MID RAIL QTY</t>
  </si>
  <si>
    <t>BRIS ALUMINIUM DETAILS:</t>
  </si>
  <si>
    <t xml:space="preserve">LOCK  CUT OUT </t>
  </si>
  <si>
    <t>DOOR ORDER FORM</t>
  </si>
  <si>
    <t>OTHER NOTES:</t>
  </si>
  <si>
    <t>Click to Go Back</t>
  </si>
  <si>
    <t>BACK SET</t>
  </si>
  <si>
    <t>Check Order Form For Locks</t>
  </si>
  <si>
    <t>35mm Doors</t>
  </si>
  <si>
    <t>45mm Doors</t>
  </si>
  <si>
    <t>35mm x 100mm Sliding Door</t>
  </si>
  <si>
    <t>35mm x 100mm Swinging Door</t>
  </si>
  <si>
    <t>35LS</t>
  </si>
  <si>
    <t>35HS</t>
  </si>
  <si>
    <t>35DR</t>
  </si>
  <si>
    <t>Width -200</t>
  </si>
  <si>
    <t>35DB</t>
  </si>
  <si>
    <t>Width -200.5</t>
  </si>
  <si>
    <t>35MR</t>
  </si>
  <si>
    <t>Entry Door Lock Set</t>
  </si>
  <si>
    <t>Classroom Lock Set</t>
  </si>
  <si>
    <t>Storeroom Lock Set</t>
  </si>
  <si>
    <t>Double Cylinder Lock Set</t>
  </si>
  <si>
    <t>CUTTING</t>
  </si>
  <si>
    <t>HEIGHTS</t>
  </si>
  <si>
    <t>MEETING STILE</t>
  </si>
  <si>
    <t>WIDTHS</t>
  </si>
  <si>
    <t>MIDRAILS</t>
  </si>
  <si>
    <t>SEAL ADAPTOR</t>
  </si>
  <si>
    <t>FULL LENGTH ADAPTOR</t>
  </si>
  <si>
    <t>With Stile Cutouts to fit</t>
  </si>
  <si>
    <t>GLAZING</t>
  </si>
  <si>
    <t>82mm MIDRAIL</t>
  </si>
  <si>
    <t>FROM TOP</t>
  </si>
  <si>
    <t>Top of Door to ¢ MidRail</t>
  </si>
  <si>
    <t>FROM BOTTOM</t>
  </si>
  <si>
    <t>Bottom of Door to ¢ Midrail</t>
  </si>
  <si>
    <t xml:space="preserve"> ¢ Midrail to ¢ Midrail</t>
  </si>
  <si>
    <t>Marco Extrusions</t>
  </si>
  <si>
    <t>Wedge One</t>
  </si>
  <si>
    <t>Glass</t>
  </si>
  <si>
    <t>Wedge Two</t>
  </si>
  <si>
    <t>Captive Option</t>
  </si>
  <si>
    <t>HT = HT</t>
  </si>
  <si>
    <t>HT -10</t>
  </si>
  <si>
    <t>WTH -200</t>
  </si>
  <si>
    <t>WTH -200.5</t>
  </si>
  <si>
    <t>WTH -210</t>
  </si>
  <si>
    <t>WTH -8</t>
  </si>
  <si>
    <t>HT -184</t>
  </si>
  <si>
    <t>WTH -184</t>
  </si>
  <si>
    <t>MR¢ -125</t>
  </si>
  <si>
    <t>MR¢ -66</t>
  </si>
  <si>
    <t>GW3-4</t>
  </si>
  <si>
    <t>GW3-4C</t>
  </si>
  <si>
    <t>GW5-6</t>
  </si>
  <si>
    <t>GW5-6C</t>
  </si>
  <si>
    <t>GW6-7</t>
  </si>
  <si>
    <t>GW7-8</t>
  </si>
  <si>
    <t>Meeting Stile</t>
  </si>
  <si>
    <t>35MS</t>
  </si>
  <si>
    <t>Height -10</t>
  </si>
  <si>
    <t>Formula</t>
  </si>
  <si>
    <t>Cut Size</t>
  </si>
  <si>
    <t>Code</t>
  </si>
  <si>
    <t>WIPER STILE</t>
  </si>
  <si>
    <t>35 x 100mm Swing Door</t>
  </si>
  <si>
    <t>35 x 100mm Cavity Door</t>
  </si>
  <si>
    <t>SLIDING DOOR HANDINGS</t>
  </si>
  <si>
    <t>HUNG INSIDE</t>
  </si>
  <si>
    <t>CLOSING RIGHT / FUR OUT</t>
  </si>
  <si>
    <t>CLOSING LEFT / FUR OUT</t>
  </si>
  <si>
    <t xml:space="preserve">HUNG OUTSIDE </t>
  </si>
  <si>
    <t>HUNG OUTSIDE</t>
  </si>
  <si>
    <t>CLOSING RIGHT / FUR IN</t>
  </si>
  <si>
    <t>CLOSING LEFT / FUT IN</t>
  </si>
  <si>
    <t>S1</t>
  </si>
  <si>
    <t>S2</t>
  </si>
  <si>
    <t>S3</t>
  </si>
  <si>
    <t>S4</t>
  </si>
  <si>
    <t>S5</t>
  </si>
  <si>
    <t>S6</t>
  </si>
  <si>
    <t>S7</t>
  </si>
  <si>
    <t>S8</t>
  </si>
  <si>
    <t>Alspec Swan Evo 45mm Doors</t>
  </si>
  <si>
    <t>Glazing Wedges</t>
  </si>
  <si>
    <t>WTH -240</t>
  </si>
  <si>
    <t>WTH -240.5</t>
  </si>
  <si>
    <t>WTH -250</t>
  </si>
  <si>
    <t>WTH -5</t>
  </si>
  <si>
    <t>HT -224</t>
  </si>
  <si>
    <t>WTH -224</t>
  </si>
  <si>
    <t>120mm MIDRAIL</t>
  </si>
  <si>
    <t>MR¢ -178</t>
  </si>
  <si>
    <t>BETEWEEN MIDRAILS</t>
  </si>
  <si>
    <t>BETWEEN MIDRAILS</t>
  </si>
  <si>
    <t>MR¢ -104</t>
  </si>
  <si>
    <t>DROP SEAL:</t>
  </si>
  <si>
    <t>8005 Drop Seal</t>
  </si>
  <si>
    <t>Rail 5</t>
  </si>
  <si>
    <t>DROP SEAL</t>
  </si>
  <si>
    <t>35SA</t>
  </si>
  <si>
    <t>Width -210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</si>
</sst>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_ ;[Red]\-0\ "/>
    <numFmt numFmtId="166" formatCode="&quot;$&quot;#,##0.00"/>
    <numFmt numFmtId="167" formatCode="[$-C09]dd\-mmm\-yy;@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9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Arial"/>
      <family val="2"/>
    </font>
    <font>
      <b/>
      <sz val="20"/>
      <name val="Arial"/>
      <family val="2"/>
    </font>
    <font>
      <sz val="11"/>
      <color theme="1"/>
      <name val="Calibri"/>
      <family val="2"/>
      <scheme val="minor"/>
    </font>
    <font>
      <i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sz val="9"/>
      <color rgb="FF666666"/>
      <name val="Arial"/>
      <family val="2"/>
    </font>
    <font>
      <b/>
      <i/>
      <sz val="20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164" fontId="22" fillId="0" borderId="0" applyFont="0" applyFill="0" applyBorder="0" applyAlignment="0" applyProtection="0"/>
  </cellStyleXfs>
  <cellXfs count="19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8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10" fillId="0" borderId="0" xfId="0" applyFont="1"/>
    <xf numFmtId="0" fontId="5" fillId="0" borderId="0" xfId="0" applyFont="1"/>
    <xf numFmtId="0" fontId="7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12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0" fillId="0" borderId="0" xfId="0" applyAlignment="1">
      <alignment vertical="center"/>
    </xf>
    <xf numFmtId="0" fontId="3" fillId="0" borderId="8" xfId="0" applyFont="1" applyBorder="1"/>
    <xf numFmtId="0" fontId="6" fillId="5" borderId="1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right"/>
    </xf>
    <xf numFmtId="0" fontId="3" fillId="6" borderId="0" xfId="0" applyFont="1" applyFill="1" applyAlignment="1">
      <alignment horizontal="right" vertical="center" wrapText="1"/>
    </xf>
    <xf numFmtId="0" fontId="4" fillId="6" borderId="0" xfId="0" applyFont="1" applyFill="1"/>
    <xf numFmtId="0" fontId="3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5" fillId="0" borderId="1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6" fillId="0" borderId="7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3" fillId="0" borderId="18" xfId="0" applyFont="1" applyBorder="1"/>
    <xf numFmtId="0" fontId="16" fillId="0" borderId="0" xfId="0" applyFont="1" applyAlignment="1">
      <alignment horizontal="left"/>
    </xf>
    <xf numFmtId="0" fontId="16" fillId="0" borderId="0" xfId="0" applyFont="1"/>
    <xf numFmtId="0" fontId="1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6" fillId="5" borderId="6" xfId="0" applyFont="1" applyFill="1" applyBorder="1" applyAlignment="1">
      <alignment horizontal="center" vertical="center" wrapText="1"/>
    </xf>
    <xf numFmtId="0" fontId="34" fillId="6" borderId="0" xfId="0" applyFont="1" applyFill="1" applyAlignment="1">
      <alignment horizontal="right"/>
    </xf>
    <xf numFmtId="0" fontId="20" fillId="3" borderId="1" xfId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right"/>
    </xf>
    <xf numFmtId="0" fontId="6" fillId="2" borderId="4" xfId="0" applyFont="1" applyFill="1" applyBorder="1" applyAlignment="1" applyProtection="1">
      <alignment horizontal="center" vertical="center"/>
      <protection locked="0"/>
    </xf>
    <xf numFmtId="165" fontId="6" fillId="2" borderId="4" xfId="0" applyNumberFormat="1" applyFont="1" applyFill="1" applyBorder="1" applyAlignment="1" applyProtection="1">
      <alignment horizontal="center" vertical="center"/>
      <protection locked="0"/>
    </xf>
    <xf numFmtId="165" fontId="6" fillId="2" borderId="19" xfId="0" applyNumberFormat="1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165" fontId="6" fillId="4" borderId="5" xfId="0" applyNumberFormat="1" applyFont="1" applyFill="1" applyBorder="1" applyAlignment="1" applyProtection="1">
      <alignment horizontal="center" vertical="center"/>
      <protection locked="0"/>
    </xf>
    <xf numFmtId="165" fontId="6" fillId="2" borderId="5" xfId="0" applyNumberFormat="1" applyFont="1" applyFill="1" applyBorder="1" applyAlignment="1" applyProtection="1">
      <alignment horizontal="center" vertical="center"/>
      <protection locked="0"/>
    </xf>
    <xf numFmtId="0" fontId="24" fillId="0" borderId="2" xfId="0" applyFont="1" applyBorder="1" applyAlignment="1">
      <alignment horizontal="center"/>
    </xf>
    <xf numFmtId="0" fontId="16" fillId="0" borderId="18" xfId="0" applyFont="1" applyBorder="1"/>
    <xf numFmtId="0" fontId="7" fillId="5" borderId="1" xfId="0" applyFont="1" applyFill="1" applyBorder="1" applyAlignment="1">
      <alignment horizontal="center" vertical="center"/>
    </xf>
    <xf numFmtId="0" fontId="9" fillId="0" borderId="0" xfId="0" applyFont="1"/>
    <xf numFmtId="0" fontId="13" fillId="0" borderId="0" xfId="0" applyFont="1" applyAlignment="1">
      <alignment horizontal="left" vertical="center"/>
    </xf>
    <xf numFmtId="164" fontId="17" fillId="0" borderId="0" xfId="2" applyFont="1" applyFill="1" applyBorder="1" applyAlignment="1" applyProtection="1">
      <alignment horizontal="left"/>
    </xf>
    <xf numFmtId="0" fontId="1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164" fontId="17" fillId="0" borderId="0" xfId="2" applyFont="1" applyFill="1" applyBorder="1" applyAlignment="1" applyProtection="1">
      <alignment horizontal="center"/>
    </xf>
    <xf numFmtId="0" fontId="2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5" fillId="0" borderId="0" xfId="0" applyFont="1"/>
    <xf numFmtId="0" fontId="14" fillId="0" borderId="0" xfId="0" applyFont="1" applyAlignment="1">
      <alignment vertical="center"/>
    </xf>
    <xf numFmtId="164" fontId="26" fillId="0" borderId="0" xfId="2" applyFont="1" applyFill="1" applyBorder="1" applyAlignment="1" applyProtection="1">
      <alignment horizontal="right"/>
    </xf>
    <xf numFmtId="164" fontId="14" fillId="0" borderId="0" xfId="2" applyFont="1" applyFill="1" applyBorder="1" applyAlignment="1" applyProtection="1">
      <alignment horizontal="right"/>
    </xf>
    <xf numFmtId="0" fontId="14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3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6" fillId="0" borderId="0" xfId="0" applyFont="1"/>
    <xf numFmtId="0" fontId="34" fillId="0" borderId="0" xfId="0" applyFont="1"/>
    <xf numFmtId="0" fontId="6" fillId="0" borderId="0" xfId="0" applyFont="1" applyAlignment="1">
      <alignment horizontal="center" vertical="center"/>
    </xf>
    <xf numFmtId="0" fontId="37" fillId="6" borderId="1" xfId="0" applyFont="1" applyFill="1" applyBorder="1"/>
    <xf numFmtId="0" fontId="38" fillId="6" borderId="1" xfId="0" applyFont="1" applyFill="1" applyBorder="1"/>
    <xf numFmtId="0" fontId="38" fillId="0" borderId="20" xfId="0" applyFont="1" applyBorder="1"/>
    <xf numFmtId="0" fontId="38" fillId="0" borderId="21" xfId="0" applyFont="1" applyBorder="1"/>
    <xf numFmtId="0" fontId="38" fillId="0" borderId="22" xfId="0" applyFont="1" applyBorder="1"/>
    <xf numFmtId="0" fontId="38" fillId="0" borderId="23" xfId="0" applyFont="1" applyBorder="1"/>
    <xf numFmtId="0" fontId="38" fillId="0" borderId="24" xfId="0" applyFont="1" applyBorder="1"/>
    <xf numFmtId="0" fontId="38" fillId="0" borderId="25" xfId="0" applyFont="1" applyBorder="1"/>
    <xf numFmtId="0" fontId="38" fillId="0" borderId="26" xfId="0" applyFont="1" applyBorder="1"/>
    <xf numFmtId="0" fontId="38" fillId="0" borderId="27" xfId="0" applyFont="1" applyBorder="1"/>
    <xf numFmtId="0" fontId="38" fillId="0" borderId="28" xfId="0" applyFont="1" applyBorder="1"/>
    <xf numFmtId="0" fontId="38" fillId="0" borderId="0" xfId="0" applyFont="1"/>
    <xf numFmtId="0" fontId="38" fillId="0" borderId="29" xfId="0" applyFont="1" applyBorder="1"/>
    <xf numFmtId="0" fontId="38" fillId="0" borderId="30" xfId="0" applyFont="1" applyBorder="1"/>
    <xf numFmtId="0" fontId="38" fillId="0" borderId="31" xfId="0" applyFont="1" applyBorder="1"/>
    <xf numFmtId="0" fontId="37" fillId="0" borderId="20" xfId="0" applyFont="1" applyBorder="1"/>
    <xf numFmtId="0" fontId="39" fillId="0" borderId="21" xfId="0" applyFont="1" applyBorder="1"/>
    <xf numFmtId="0" fontId="39" fillId="0" borderId="27" xfId="0" applyFont="1" applyBorder="1"/>
    <xf numFmtId="0" fontId="39" fillId="0" borderId="0" xfId="0" applyFont="1"/>
    <xf numFmtId="0" fontId="39" fillId="0" borderId="30" xfId="0" applyFont="1" applyBorder="1"/>
    <xf numFmtId="0" fontId="39" fillId="0" borderId="24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6" fillId="0" borderId="32" xfId="0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" fontId="24" fillId="0" borderId="15" xfId="0" applyNumberFormat="1" applyFont="1" applyBorder="1" applyAlignment="1">
      <alignment horizont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6" fillId="0" borderId="39" xfId="0" applyFont="1" applyBorder="1" applyAlignment="1">
      <alignment horizontal="right"/>
    </xf>
    <xf numFmtId="0" fontId="6" fillId="0" borderId="40" xfId="0" applyFont="1" applyBorder="1" applyAlignment="1">
      <alignment horizontal="right"/>
    </xf>
    <xf numFmtId="0" fontId="33" fillId="0" borderId="0" xfId="0" applyFont="1" applyAlignment="1" applyProtection="1">
      <alignment horizontal="center"/>
      <protection locked="0"/>
    </xf>
    <xf numFmtId="165" fontId="6" fillId="2" borderId="19" xfId="0" applyNumberFormat="1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5" fontId="6" fillId="4" borderId="5" xfId="0" applyNumberFormat="1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5" fontId="6" fillId="2" borderId="4" xfId="0" applyNumberFormat="1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18" xfId="0" applyFont="1" applyBorder="1" applyAlignment="1">
      <alignment horizontal="right"/>
    </xf>
    <xf numFmtId="0" fontId="24" fillId="0" borderId="0" xfId="0" applyFont="1" applyAlignment="1">
      <alignment horizontal="center"/>
    </xf>
    <xf numFmtId="0" fontId="24" fillId="0" borderId="18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167" fontId="33" fillId="6" borderId="2" xfId="0" applyNumberFormat="1" applyFont="1" applyFill="1" applyBorder="1" applyAlignment="1" applyProtection="1">
      <alignment horizontal="center"/>
      <protection locked="0"/>
    </xf>
    <xf numFmtId="0" fontId="33" fillId="6" borderId="3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9" fillId="0" borderId="0" xfId="0" applyFont="1" applyAlignment="1">
      <alignment horizontal="right" vertical="center" wrapText="1"/>
    </xf>
    <xf numFmtId="0" fontId="3" fillId="0" borderId="9" xfId="0" applyFont="1" applyBorder="1" applyAlignment="1" applyProtection="1">
      <alignment horizontal="left"/>
      <protection locked="0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wrapText="1"/>
    </xf>
    <xf numFmtId="0" fontId="23" fillId="3" borderId="7" xfId="0" applyFont="1" applyFill="1" applyBorder="1" applyAlignment="1">
      <alignment horizontal="center" wrapText="1"/>
    </xf>
    <xf numFmtId="0" fontId="33" fillId="0" borderId="2" xfId="0" applyFont="1" applyBorder="1" applyAlignment="1" applyProtection="1">
      <alignment horizontal="center"/>
      <protection locked="0"/>
    </xf>
    <xf numFmtId="0" fontId="33" fillId="0" borderId="3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right"/>
    </xf>
    <xf numFmtId="0" fontId="21" fillId="3" borderId="13" xfId="1" applyFont="1" applyFill="1" applyBorder="1" applyAlignment="1" applyProtection="1">
      <alignment horizontal="right" vertical="center"/>
      <protection locked="0"/>
    </xf>
    <xf numFmtId="0" fontId="21" fillId="3" borderId="14" xfId="1" applyFont="1" applyFill="1" applyBorder="1" applyAlignment="1" applyProtection="1">
      <alignment horizontal="right" vertical="center"/>
      <protection locked="0"/>
    </xf>
    <xf numFmtId="0" fontId="21" fillId="3" borderId="13" xfId="1" applyFont="1" applyFill="1" applyBorder="1" applyAlignment="1" applyProtection="1">
      <alignment horizontal="left" vertical="center"/>
      <protection locked="0"/>
    </xf>
    <xf numFmtId="0" fontId="21" fillId="3" borderId="14" xfId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37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38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9" fillId="0" borderId="0" xfId="0" applyFont="1" applyAlignment="1">
      <alignment horizontal="right" wrapText="1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0" fontId="35" fillId="7" borderId="0" xfId="1" applyFont="1" applyFill="1" applyBorder="1" applyAlignment="1" applyProtection="1">
      <alignment horizontal="right"/>
      <protection locked="0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png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emf"/><Relationship Id="rId16" Type="http://schemas.openxmlformats.org/officeDocument/2006/relationships/image" Target="../media/image17.png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11" Type="http://schemas.openxmlformats.org/officeDocument/2006/relationships/image" Target="../media/image12.png"/><Relationship Id="rId5" Type="http://schemas.openxmlformats.org/officeDocument/2006/relationships/image" Target="../media/image6.emf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emf"/><Relationship Id="rId9" Type="http://schemas.openxmlformats.org/officeDocument/2006/relationships/image" Target="../media/image10.jpe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emf"/><Relationship Id="rId3" Type="http://schemas.openxmlformats.org/officeDocument/2006/relationships/image" Target="../media/image20.png"/><Relationship Id="rId7" Type="http://schemas.openxmlformats.org/officeDocument/2006/relationships/image" Target="../media/image24.emf"/><Relationship Id="rId2" Type="http://schemas.openxmlformats.org/officeDocument/2006/relationships/image" Target="../media/image19.jpeg"/><Relationship Id="rId1" Type="http://schemas.openxmlformats.org/officeDocument/2006/relationships/image" Target="../media/image10.jpeg"/><Relationship Id="rId6" Type="http://schemas.openxmlformats.org/officeDocument/2006/relationships/image" Target="../media/image23.emf"/><Relationship Id="rId11" Type="http://schemas.openxmlformats.org/officeDocument/2006/relationships/image" Target="../media/image28.png"/><Relationship Id="rId5" Type="http://schemas.openxmlformats.org/officeDocument/2006/relationships/image" Target="../media/image22.emf"/><Relationship Id="rId10" Type="http://schemas.openxmlformats.org/officeDocument/2006/relationships/image" Target="../media/image27.png"/><Relationship Id="rId4" Type="http://schemas.openxmlformats.org/officeDocument/2006/relationships/image" Target="../media/image21.png"/><Relationship Id="rId9" Type="http://schemas.openxmlformats.org/officeDocument/2006/relationships/image" Target="../media/image2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png"/><Relationship Id="rId1" Type="http://schemas.openxmlformats.org/officeDocument/2006/relationships/image" Target="../media/image29.png"/><Relationship Id="rId4" Type="http://schemas.openxmlformats.org/officeDocument/2006/relationships/image" Target="../media/image3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1571625</xdr:colOff>
      <xdr:row>1</xdr:row>
      <xdr:rowOff>612757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E84EC84-C203-1C9C-CC8E-54BC1A738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43175" cy="8032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160734</xdr:colOff>
      <xdr:row>1</xdr:row>
      <xdr:rowOff>9525</xdr:rowOff>
    </xdr:from>
    <xdr:to>
      <xdr:col>4</xdr:col>
      <xdr:colOff>423787</xdr:colOff>
      <xdr:row>10</xdr:row>
      <xdr:rowOff>22997</xdr:rowOff>
    </xdr:to>
    <xdr:pic>
      <xdr:nvPicPr>
        <xdr:cNvPr id="2" name="Picture 3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33" t="19196" r="20815" b="9792"/>
        <a:stretch>
          <a:fillRect/>
        </a:stretch>
      </xdr:blipFill>
      <xdr:spPr bwMode="auto">
        <a:xfrm>
          <a:off x="808434" y="790575"/>
          <a:ext cx="2063278" cy="1737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247650</xdr:colOff>
      <xdr:row>1</xdr:row>
      <xdr:rowOff>17700</xdr:rowOff>
    </xdr:from>
    <xdr:to>
      <xdr:col>8</xdr:col>
      <xdr:colOff>476250</xdr:colOff>
      <xdr:row>10</xdr:row>
      <xdr:rowOff>13473</xdr:rowOff>
    </xdr:to>
    <xdr:pic>
      <xdr:nvPicPr>
        <xdr:cNvPr id="3" name="Picture 3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23" t="18372" r="19363" b="8766"/>
        <a:stretch>
          <a:fillRect/>
        </a:stretch>
      </xdr:blipFill>
      <xdr:spPr bwMode="auto">
        <a:xfrm>
          <a:off x="3486150" y="798750"/>
          <a:ext cx="2028825" cy="1719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219075</xdr:colOff>
      <xdr:row>12</xdr:row>
      <xdr:rowOff>47624</xdr:rowOff>
    </xdr:from>
    <xdr:to>
      <xdr:col>9</xdr:col>
      <xdr:colOff>66674</xdr:colOff>
      <xdr:row>21</xdr:row>
      <xdr:rowOff>180255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13" t="18990" r="22127" b="11020"/>
        <a:stretch>
          <a:fillRect/>
        </a:stretch>
      </xdr:blipFill>
      <xdr:spPr bwMode="auto">
        <a:xfrm>
          <a:off x="3457575" y="2943224"/>
          <a:ext cx="2247899" cy="1866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1</xdr:col>
      <xdr:colOff>55471</xdr:colOff>
      <xdr:row>12</xdr:row>
      <xdr:rowOff>66675</xdr:rowOff>
    </xdr:from>
    <xdr:to>
      <xdr:col>4</xdr:col>
      <xdr:colOff>425071</xdr:colOff>
      <xdr:row>21</xdr:row>
      <xdr:rowOff>180975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87" t="20847" r="18773" b="4837"/>
        <a:stretch>
          <a:fillRect/>
        </a:stretch>
      </xdr:blipFill>
      <xdr:spPr bwMode="auto">
        <a:xfrm>
          <a:off x="703171" y="2962275"/>
          <a:ext cx="2169825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428626</xdr:colOff>
      <xdr:row>24</xdr:row>
      <xdr:rowOff>66674</xdr:rowOff>
    </xdr:from>
    <xdr:to>
      <xdr:col>4</xdr:col>
      <xdr:colOff>509463</xdr:colOff>
      <xdr:row>31</xdr:row>
      <xdr:rowOff>88930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79" t="17958" r="7982" b="17636"/>
        <a:stretch>
          <a:fillRect/>
        </a:stretch>
      </xdr:blipFill>
      <xdr:spPr bwMode="auto">
        <a:xfrm>
          <a:off x="428626" y="5276849"/>
          <a:ext cx="2481137" cy="1371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104776</xdr:colOff>
      <xdr:row>24</xdr:row>
      <xdr:rowOff>57150</xdr:rowOff>
    </xdr:from>
    <xdr:to>
      <xdr:col>9</xdr:col>
      <xdr:colOff>238125</xdr:colOff>
      <xdr:row>31</xdr:row>
      <xdr:rowOff>76233</xdr:rowOff>
    </xdr:to>
    <xdr:pic>
      <xdr:nvPicPr>
        <xdr:cNvPr id="7" name="Picture 8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33" t="20435" r="9586" b="15164"/>
        <a:stretch>
          <a:fillRect/>
        </a:stretch>
      </xdr:blipFill>
      <xdr:spPr bwMode="auto">
        <a:xfrm>
          <a:off x="3105151" y="5267325"/>
          <a:ext cx="2533649" cy="1371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409575</xdr:colOff>
      <xdr:row>35</xdr:row>
      <xdr:rowOff>152400</xdr:rowOff>
    </xdr:from>
    <xdr:to>
      <xdr:col>4</xdr:col>
      <xdr:colOff>490412</xdr:colOff>
      <xdr:row>42</xdr:row>
      <xdr:rowOff>143673</xdr:rowOff>
    </xdr:to>
    <xdr:pic>
      <xdr:nvPicPr>
        <xdr:cNvPr id="8" name="Picture 9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7" t="25182" r="7845" b="11037"/>
        <a:stretch>
          <a:fillRect/>
        </a:stretch>
      </xdr:blipFill>
      <xdr:spPr bwMode="auto">
        <a:xfrm>
          <a:off x="409575" y="7416800"/>
          <a:ext cx="2468437" cy="1362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123825</xdr:colOff>
      <xdr:row>35</xdr:row>
      <xdr:rowOff>152400</xdr:rowOff>
    </xdr:from>
    <xdr:to>
      <xdr:col>9</xdr:col>
      <xdr:colOff>244046</xdr:colOff>
      <xdr:row>42</xdr:row>
      <xdr:rowOff>155607</xdr:rowOff>
    </xdr:to>
    <xdr:pic>
      <xdr:nvPicPr>
        <xdr:cNvPr id="9" name="Picture 1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24" t="23119" r="11588" b="16196"/>
        <a:stretch>
          <a:fillRect/>
        </a:stretch>
      </xdr:blipFill>
      <xdr:spPr bwMode="auto">
        <a:xfrm>
          <a:off x="3108325" y="7416800"/>
          <a:ext cx="2507821" cy="1374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1</xdr:colOff>
      <xdr:row>0</xdr:row>
      <xdr:rowOff>0</xdr:rowOff>
    </xdr:from>
    <xdr:to>
      <xdr:col>4</xdr:col>
      <xdr:colOff>1</xdr:colOff>
      <xdr:row>0</xdr:row>
      <xdr:rowOff>773130</xdr:rowOff>
    </xdr:to>
    <xdr:pic>
      <xdr:nvPicPr>
        <xdr:cNvPr id="10" name="Picture 9" descr="Bris Aluminium Logo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400300" cy="773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12</xdr:col>
      <xdr:colOff>34925</xdr:colOff>
      <xdr:row>13</xdr:row>
      <xdr:rowOff>15875</xdr:rowOff>
    </xdr:from>
    <xdr:to>
      <xdr:col>13</xdr:col>
      <xdr:colOff>596900</xdr:colOff>
      <xdr:row>22</xdr:row>
      <xdr:rowOff>15875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D6FC21A-4E63-0C5C-FA8D-151ED558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3125" y="3127375"/>
          <a:ext cx="1171575" cy="1727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16</xdr:col>
      <xdr:colOff>82550</xdr:colOff>
      <xdr:row>13</xdr:row>
      <xdr:rowOff>19050</xdr:rowOff>
    </xdr:from>
    <xdr:to>
      <xdr:col>18</xdr:col>
      <xdr:colOff>34925</xdr:colOff>
      <xdr:row>22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FDAC5E4-40EE-D22F-C08F-5CDC69A4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7550" y="3130550"/>
          <a:ext cx="1171575" cy="1708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12</xdr:col>
      <xdr:colOff>15875</xdr:colOff>
      <xdr:row>0</xdr:row>
      <xdr:rowOff>774700</xdr:rowOff>
    </xdr:from>
    <xdr:to>
      <xdr:col>13</xdr:col>
      <xdr:colOff>558800</xdr:colOff>
      <xdr:row>9</xdr:row>
      <xdr:rowOff>177800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A9F064C-CC37-3EC3-5020-3C824F510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4075" y="774700"/>
          <a:ext cx="1152525" cy="1727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16</xdr:col>
      <xdr:colOff>53975</xdr:colOff>
      <xdr:row>1</xdr:row>
      <xdr:rowOff>0</xdr:rowOff>
    </xdr:from>
    <xdr:to>
      <xdr:col>18</xdr:col>
      <xdr:colOff>6350</xdr:colOff>
      <xdr:row>9</xdr:row>
      <xdr:rowOff>180975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F430762-72FE-5490-4959-B9669C3C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975" y="787400"/>
          <a:ext cx="1171575" cy="1717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10</xdr:col>
      <xdr:colOff>152400</xdr:colOff>
      <xdr:row>24</xdr:row>
      <xdr:rowOff>187325</xdr:rowOff>
    </xdr:from>
    <xdr:to>
      <xdr:col>14</xdr:col>
      <xdr:colOff>133350</xdr:colOff>
      <xdr:row>33</xdr:row>
      <xdr:rowOff>12700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4B194CB-0FA4-0A80-4011-1CC6DA60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1400" y="5419725"/>
          <a:ext cx="2419350" cy="1463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15</xdr:col>
      <xdr:colOff>279400</xdr:colOff>
      <xdr:row>24</xdr:row>
      <xdr:rowOff>165100</xdr:rowOff>
    </xdr:from>
    <xdr:to>
      <xdr:col>19</xdr:col>
      <xdr:colOff>311150</xdr:colOff>
      <xdr:row>33</xdr:row>
      <xdr:rowOff>9525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D687D033-779F-FB16-4A83-CCE1EF96B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5600" y="5397500"/>
          <a:ext cx="2419350" cy="1482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10</xdr:col>
      <xdr:colOff>171450</xdr:colOff>
      <xdr:row>36</xdr:row>
      <xdr:rowOff>60325</xdr:rowOff>
    </xdr:from>
    <xdr:to>
      <xdr:col>14</xdr:col>
      <xdr:colOff>171450</xdr:colOff>
      <xdr:row>43</xdr:row>
      <xdr:rowOff>184150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4CC5F5D-CB60-67DA-0D9B-02677295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0450" y="7527925"/>
          <a:ext cx="2438400" cy="1482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15</xdr:col>
      <xdr:colOff>266700</xdr:colOff>
      <xdr:row>36</xdr:row>
      <xdr:rowOff>73025</xdr:rowOff>
    </xdr:from>
    <xdr:to>
      <xdr:col>19</xdr:col>
      <xdr:colOff>327025</xdr:colOff>
      <xdr:row>44</xdr:row>
      <xdr:rowOff>15875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7BDB604-FA85-28F5-6DCD-67C5EDD97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2900" y="7540625"/>
          <a:ext cx="2447925" cy="149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9</xdr:col>
      <xdr:colOff>590551</xdr:colOff>
      <xdr:row>0</xdr:row>
      <xdr:rowOff>0</xdr:rowOff>
    </xdr:from>
    <xdr:to>
      <xdr:col>13</xdr:col>
      <xdr:colOff>561976</xdr:colOff>
      <xdr:row>0</xdr:row>
      <xdr:rowOff>773130</xdr:rowOff>
    </xdr:to>
    <xdr:pic>
      <xdr:nvPicPr>
        <xdr:cNvPr id="29" name="Picture 28" descr="Bris Aluminium Logo">
          <a:extLst>
            <a:ext uri="{FF2B5EF4-FFF2-40B4-BE49-F238E27FC236}">
              <a16:creationId xmlns:a16="http://schemas.microsoft.com/office/drawing/2014/main" id="{91521E46-67A3-4C54-B12B-D2BC6F6F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6" y="0"/>
          <a:ext cx="2400300" cy="773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104775</xdr:colOff>
      <xdr:row>1</xdr:row>
      <xdr:rowOff>38100</xdr:rowOff>
    </xdr:to>
    <xdr:pic>
      <xdr:nvPicPr>
        <xdr:cNvPr id="13" name="Picture 12" descr="Bris Aluminium Log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200025</xdr:colOff>
      <xdr:row>50</xdr:row>
      <xdr:rowOff>152400</xdr:rowOff>
    </xdr:from>
    <xdr:to>
      <xdr:col>9</xdr:col>
      <xdr:colOff>571500</xdr:colOff>
      <xdr:row>56</xdr:row>
      <xdr:rowOff>85725</xdr:rowOff>
    </xdr:to>
    <xdr:pic>
      <xdr:nvPicPr>
        <xdr:cNvPr id="14" name="Picture 13" descr="Bris-Electronic-Bottom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38" r="2405"/>
        <a:stretch/>
      </xdr:blipFill>
      <xdr:spPr bwMode="auto">
        <a:xfrm>
          <a:off x="1419225" y="9020175"/>
          <a:ext cx="46386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342900</xdr:colOff>
      <xdr:row>51</xdr:row>
      <xdr:rowOff>9525</xdr:rowOff>
    </xdr:from>
    <xdr:to>
      <xdr:col>3</xdr:col>
      <xdr:colOff>466725</xdr:colOff>
      <xdr:row>56</xdr:row>
      <xdr:rowOff>0</xdr:rowOff>
    </xdr:to>
    <xdr:pic>
      <xdr:nvPicPr>
        <xdr:cNvPr id="15" name="Picture 14" descr="ISO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292"/>
        <a:stretch/>
      </xdr:blipFill>
      <xdr:spPr bwMode="auto">
        <a:xfrm>
          <a:off x="342900" y="9039225"/>
          <a:ext cx="19526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</xdr:row>
      <xdr:rowOff>9525</xdr:rowOff>
    </xdr:from>
    <xdr:to>
      <xdr:col>2</xdr:col>
      <xdr:colOff>95250</xdr:colOff>
      <xdr:row>6</xdr:row>
      <xdr:rowOff>152400</xdr:rowOff>
    </xdr:to>
    <xdr:pic>
      <xdr:nvPicPr>
        <xdr:cNvPr id="16" name="Picture 6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181100"/>
          <a:ext cx="6858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8</xdr:row>
      <xdr:rowOff>19050</xdr:rowOff>
    </xdr:from>
    <xdr:to>
      <xdr:col>2</xdr:col>
      <xdr:colOff>104775</xdr:colOff>
      <xdr:row>13</xdr:row>
      <xdr:rowOff>9525</xdr:rowOff>
    </xdr:to>
    <xdr:pic>
      <xdr:nvPicPr>
        <xdr:cNvPr id="17" name="Picture 7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238375"/>
          <a:ext cx="695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14</xdr:row>
      <xdr:rowOff>9525</xdr:rowOff>
    </xdr:from>
    <xdr:to>
      <xdr:col>2</xdr:col>
      <xdr:colOff>133350</xdr:colOff>
      <xdr:row>19</xdr:row>
      <xdr:rowOff>0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3200400"/>
          <a:ext cx="7334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20</xdr:row>
      <xdr:rowOff>9525</xdr:rowOff>
    </xdr:from>
    <xdr:to>
      <xdr:col>2</xdr:col>
      <xdr:colOff>171450</xdr:colOff>
      <xdr:row>24</xdr:row>
      <xdr:rowOff>152400</xdr:rowOff>
    </xdr:to>
    <xdr:pic>
      <xdr:nvPicPr>
        <xdr:cNvPr id="19" name="Picture 9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171950"/>
          <a:ext cx="7620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27</xdr:row>
      <xdr:rowOff>9525</xdr:rowOff>
    </xdr:from>
    <xdr:to>
      <xdr:col>2</xdr:col>
      <xdr:colOff>161925</xdr:colOff>
      <xdr:row>32</xdr:row>
      <xdr:rowOff>0</xdr:rowOff>
    </xdr:to>
    <xdr:pic>
      <xdr:nvPicPr>
        <xdr:cNvPr id="20" name="Picture 10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5305425"/>
          <a:ext cx="7620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45</xdr:row>
      <xdr:rowOff>38100</xdr:rowOff>
    </xdr:from>
    <xdr:to>
      <xdr:col>4</xdr:col>
      <xdr:colOff>152400</xdr:colOff>
      <xdr:row>47</xdr:row>
      <xdr:rowOff>85725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30" t="19878" r="11533" b="33801"/>
        <a:stretch>
          <a:fillRect/>
        </a:stretch>
      </xdr:blipFill>
      <xdr:spPr bwMode="auto">
        <a:xfrm>
          <a:off x="628650" y="8248650"/>
          <a:ext cx="19621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39</xdr:row>
      <xdr:rowOff>9525</xdr:rowOff>
    </xdr:from>
    <xdr:to>
      <xdr:col>2</xdr:col>
      <xdr:colOff>180975</xdr:colOff>
      <xdr:row>44</xdr:row>
      <xdr:rowOff>0</xdr:rowOff>
    </xdr:to>
    <xdr:pic>
      <xdr:nvPicPr>
        <xdr:cNvPr id="22" name="Picture 8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65" b="49039"/>
        <a:stretch>
          <a:fillRect/>
        </a:stretch>
      </xdr:blipFill>
      <xdr:spPr bwMode="auto">
        <a:xfrm>
          <a:off x="647700" y="7248525"/>
          <a:ext cx="7524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33</xdr:row>
      <xdr:rowOff>19050</xdr:rowOff>
    </xdr:from>
    <xdr:to>
      <xdr:col>2</xdr:col>
      <xdr:colOff>142875</xdr:colOff>
      <xdr:row>38</xdr:row>
      <xdr:rowOff>9525</xdr:rowOff>
    </xdr:to>
    <xdr:pic>
      <xdr:nvPicPr>
        <xdr:cNvPr id="23" name="Picture 9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403"/>
        <a:stretch>
          <a:fillRect/>
        </a:stretch>
      </xdr:blipFill>
      <xdr:spPr bwMode="auto">
        <a:xfrm>
          <a:off x="619125" y="6286500"/>
          <a:ext cx="7429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9524</xdr:colOff>
      <xdr:row>1</xdr:row>
      <xdr:rowOff>19050</xdr:rowOff>
    </xdr:from>
    <xdr:to>
      <xdr:col>15</xdr:col>
      <xdr:colOff>6349</xdr:colOff>
      <xdr:row>36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BC276E-3153-481F-ACDD-0452A56B1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05524" y="352425"/>
          <a:ext cx="6086475" cy="6886575"/>
        </a:xfrm>
        <a:prstGeom prst="rect">
          <a:avLst/>
        </a:prstGeom>
      </xdr:spPr>
    </xdr:pic>
    <xdr:clientData/>
  </xdr:twoCellAnchor>
  <xdr:twoCellAnchor editAs="oneCell">
    <xdr:from>
      <xdr:col>5</xdr:col>
      <xdr:colOff>19051</xdr:colOff>
      <xdr:row>37</xdr:row>
      <xdr:rowOff>19051</xdr:rowOff>
    </xdr:from>
    <xdr:to>
      <xdr:col>15</xdr:col>
      <xdr:colOff>0</xdr:colOff>
      <xdr:row>48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871123E-5339-4717-9835-852BA0819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15051" y="7210426"/>
          <a:ext cx="6076949" cy="22478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1038225</xdr:colOff>
      <xdr:row>2</xdr:row>
      <xdr:rowOff>123825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6C03C5D-5A22-4059-B6A8-0C0EFC910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3125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0</xdr:row>
      <xdr:rowOff>0</xdr:rowOff>
    </xdr:from>
    <xdr:to>
      <xdr:col>8</xdr:col>
      <xdr:colOff>333375</xdr:colOff>
      <xdr:row>2</xdr:row>
      <xdr:rowOff>123825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B63E9FB-337E-464E-A472-3FD91FCA2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0"/>
          <a:ext cx="2143125" cy="647700"/>
        </a:xfrm>
        <a:prstGeom prst="rect">
          <a:avLst/>
        </a:prstGeom>
      </xdr:spPr>
    </xdr:pic>
    <xdr:clientData/>
  </xdr:twoCellAnchor>
  <xdr:twoCellAnchor editAs="oneCell">
    <xdr:from>
      <xdr:col>16</xdr:col>
      <xdr:colOff>28575</xdr:colOff>
      <xdr:row>25</xdr:row>
      <xdr:rowOff>95250</xdr:rowOff>
    </xdr:from>
    <xdr:to>
      <xdr:col>26</xdr:col>
      <xdr:colOff>370471</xdr:colOff>
      <xdr:row>43</xdr:row>
      <xdr:rowOff>190059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0002D3-6322-122F-F911-67D8BA173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610975" y="5143500"/>
          <a:ext cx="8028571" cy="3523809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22"/>
  <sheetViews>
    <sheetView showGridLines="0" tabSelected="1" zoomScaleNormal="100" workbookViewId="0">
      <selection activeCell="C5" sqref="C5:D5"/>
    </sheetView>
  </sheetViews>
  <sheetFormatPr defaultRowHeight="15" x14ac:dyDescent="0.25"/>
  <cols>
    <col min="1" max="1" width="14.5703125" style="2" customWidth="1"/>
    <col min="2" max="2" width="5" style="2" hidden="1" customWidth="1"/>
    <col min="3" max="3" width="32.5703125" style="2" customWidth="1"/>
    <col min="4" max="4" width="5.7109375" style="2" customWidth="1"/>
    <col min="5" max="6" width="10" style="2" customWidth="1"/>
    <col min="7" max="7" width="7.42578125" style="2" bestFit="1" customWidth="1"/>
    <col min="8" max="8" width="16.7109375" style="2" customWidth="1"/>
    <col min="9" max="10" width="5.7109375" style="2" customWidth="1"/>
    <col min="11" max="11" width="16.7109375" style="2" customWidth="1"/>
    <col min="12" max="12" width="11.85546875" style="2" customWidth="1"/>
    <col min="13" max="13" width="6.7109375" customWidth="1"/>
    <col min="15" max="15" width="31.28515625" style="2" hidden="1" customWidth="1"/>
    <col min="16" max="16" width="21.140625" style="2" hidden="1" customWidth="1"/>
    <col min="17" max="17" width="9.140625" hidden="1" customWidth="1"/>
    <col min="18" max="18" width="9.140625" customWidth="1"/>
  </cols>
  <sheetData>
    <row r="2" spans="1:19" ht="49.5" customHeight="1" x14ac:dyDescent="0.25">
      <c r="H2" s="135" t="s">
        <v>131</v>
      </c>
      <c r="I2" s="135"/>
      <c r="J2" s="135"/>
      <c r="K2" s="135"/>
      <c r="L2" s="135"/>
      <c r="M2" s="135"/>
    </row>
    <row r="3" spans="1:19" s="26" customFormat="1" ht="20.100000000000001" customHeight="1" x14ac:dyDescent="0.2">
      <c r="A3" s="137" t="s">
        <v>6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O3" s="4" t="s">
        <v>17</v>
      </c>
      <c r="P3" s="4" t="s">
        <v>18</v>
      </c>
    </row>
    <row r="4" spans="1:19" s="6" customFormat="1" ht="15.75" x14ac:dyDescent="0.25">
      <c r="A4" s="5" t="s">
        <v>7</v>
      </c>
      <c r="B4" s="5"/>
      <c r="C4" s="5"/>
      <c r="D4" s="5"/>
      <c r="E4" s="5"/>
      <c r="F4" s="5"/>
      <c r="G4" s="5"/>
      <c r="H4" s="25"/>
      <c r="K4" s="31"/>
      <c r="L4" s="31"/>
      <c r="M4" s="45" t="s">
        <v>129</v>
      </c>
      <c r="N4" s="7"/>
      <c r="O4" s="2" t="s">
        <v>19</v>
      </c>
      <c r="P4" s="2" t="s">
        <v>19</v>
      </c>
      <c r="Q4" s="7"/>
      <c r="R4" s="7"/>
      <c r="S4" s="7"/>
    </row>
    <row r="5" spans="1:19" ht="24" customHeight="1" x14ac:dyDescent="0.25">
      <c r="A5" s="4" t="s">
        <v>8</v>
      </c>
      <c r="B5" s="4"/>
      <c r="C5" s="145"/>
      <c r="D5" s="145"/>
      <c r="F5" s="32" t="s">
        <v>9</v>
      </c>
      <c r="G5" s="145"/>
      <c r="H5" s="145"/>
      <c r="I5" s="145"/>
      <c r="J5" s="124"/>
      <c r="K5" s="29" t="s">
        <v>12</v>
      </c>
      <c r="L5" s="132"/>
      <c r="M5" s="132"/>
      <c r="O5" s="2" t="s">
        <v>139</v>
      </c>
      <c r="P5" s="2" t="s">
        <v>20</v>
      </c>
    </row>
    <row r="6" spans="1:19" ht="24" customHeight="1" x14ac:dyDescent="0.25">
      <c r="A6" s="4" t="s">
        <v>10</v>
      </c>
      <c r="B6" s="4"/>
      <c r="C6" s="146"/>
      <c r="D6" s="146"/>
      <c r="F6" s="32" t="s">
        <v>11</v>
      </c>
      <c r="G6" s="146"/>
      <c r="H6" s="146"/>
      <c r="I6" s="146"/>
      <c r="J6" s="124"/>
      <c r="K6" s="30" t="s">
        <v>13</v>
      </c>
      <c r="L6" s="133"/>
      <c r="M6" s="133"/>
      <c r="O6" s="2" t="s">
        <v>32</v>
      </c>
      <c r="P6" s="2" t="s">
        <v>21</v>
      </c>
    </row>
    <row r="7" spans="1:19" ht="24" customHeight="1" x14ac:dyDescent="0.25">
      <c r="A7" s="4" t="s">
        <v>16</v>
      </c>
      <c r="B7" s="4"/>
      <c r="C7" s="146" t="s">
        <v>19</v>
      </c>
      <c r="D7" s="146"/>
      <c r="E7" s="4"/>
      <c r="F7" s="32" t="str">
        <f>IF(C7=P7,Q7,IF(C7=P8,Q8,""))</f>
        <v/>
      </c>
      <c r="G7" s="145"/>
      <c r="H7" s="145"/>
      <c r="I7" s="145"/>
      <c r="J7" s="145"/>
      <c r="K7" s="145"/>
      <c r="L7" s="145"/>
      <c r="M7" s="145"/>
      <c r="O7" s="21" t="s">
        <v>33</v>
      </c>
      <c r="P7" s="2" t="s">
        <v>22</v>
      </c>
      <c r="Q7" t="s">
        <v>91</v>
      </c>
    </row>
    <row r="8" spans="1:19" ht="6.95" customHeight="1" x14ac:dyDescent="0.25">
      <c r="O8" s="2" t="s">
        <v>138</v>
      </c>
      <c r="P8" s="2" t="s">
        <v>23</v>
      </c>
      <c r="Q8" t="s">
        <v>92</v>
      </c>
    </row>
    <row r="9" spans="1:19" s="3" customFormat="1" ht="51" customHeight="1" x14ac:dyDescent="0.2">
      <c r="A9" s="8" t="s">
        <v>0</v>
      </c>
      <c r="B9" s="141" t="s">
        <v>89</v>
      </c>
      <c r="C9" s="142"/>
      <c r="D9" s="8" t="s">
        <v>1</v>
      </c>
      <c r="E9" s="8" t="s">
        <v>2</v>
      </c>
      <c r="F9" s="8" t="s">
        <v>3</v>
      </c>
      <c r="G9" s="56" t="s">
        <v>4</v>
      </c>
      <c r="H9" s="44" t="s">
        <v>127</v>
      </c>
      <c r="I9" s="8" t="s">
        <v>128</v>
      </c>
      <c r="J9" s="8" t="s">
        <v>226</v>
      </c>
      <c r="K9" s="28" t="s">
        <v>5</v>
      </c>
      <c r="L9" s="8" t="s">
        <v>130</v>
      </c>
      <c r="M9" s="8" t="s">
        <v>134</v>
      </c>
      <c r="O9" s="2" t="s">
        <v>34</v>
      </c>
      <c r="P9" s="21"/>
    </row>
    <row r="10" spans="1:19" s="1" customFormat="1" ht="26.25" customHeight="1" x14ac:dyDescent="0.2">
      <c r="A10" s="23"/>
      <c r="B10" s="143" t="s">
        <v>90</v>
      </c>
      <c r="C10" s="144"/>
      <c r="D10" s="138" t="s">
        <v>93</v>
      </c>
      <c r="E10" s="139"/>
      <c r="F10" s="140"/>
      <c r="G10" s="46" t="s">
        <v>14</v>
      </c>
      <c r="H10" s="138" t="s">
        <v>93</v>
      </c>
      <c r="I10" s="139"/>
      <c r="J10" s="139"/>
      <c r="K10" s="140"/>
      <c r="L10" s="46" t="s">
        <v>15</v>
      </c>
      <c r="M10" s="23"/>
      <c r="O10" s="2" t="s">
        <v>35</v>
      </c>
      <c r="P10" s="2"/>
    </row>
    <row r="11" spans="1:19" s="9" customFormat="1" ht="20.100000000000001" customHeight="1" x14ac:dyDescent="0.2">
      <c r="A11" s="48"/>
      <c r="B11" s="48"/>
      <c r="C11" s="48"/>
      <c r="D11" s="48"/>
      <c r="E11" s="48"/>
      <c r="F11" s="48"/>
      <c r="G11" s="48"/>
      <c r="H11" s="48"/>
      <c r="I11" s="50"/>
      <c r="J11" s="125" t="b">
        <v>0</v>
      </c>
      <c r="K11" s="49"/>
      <c r="L11" s="48"/>
      <c r="M11" s="53"/>
      <c r="O11" s="2" t="s">
        <v>36</v>
      </c>
      <c r="P11" s="2"/>
    </row>
    <row r="12" spans="1:19" s="9" customFormat="1" ht="20.100000000000001" customHeight="1" x14ac:dyDescent="0.2">
      <c r="A12" s="51"/>
      <c r="B12" s="51"/>
      <c r="C12" s="51"/>
      <c r="D12" s="51"/>
      <c r="E12" s="51"/>
      <c r="F12" s="51"/>
      <c r="G12" s="51"/>
      <c r="H12" s="51"/>
      <c r="I12" s="52"/>
      <c r="J12" s="126" t="b">
        <v>0</v>
      </c>
      <c r="K12" s="52"/>
      <c r="L12" s="51"/>
      <c r="M12" s="52"/>
      <c r="O12" s="2" t="s">
        <v>37</v>
      </c>
      <c r="P12" s="2"/>
    </row>
    <row r="13" spans="1:19" s="9" customFormat="1" ht="20.100000000000001" customHeight="1" x14ac:dyDescent="0.25">
      <c r="A13" s="48"/>
      <c r="B13" s="48"/>
      <c r="C13" s="48"/>
      <c r="D13" s="48"/>
      <c r="E13" s="48"/>
      <c r="F13" s="48"/>
      <c r="G13" s="48"/>
      <c r="H13" s="48"/>
      <c r="I13" s="49"/>
      <c r="J13" s="127" t="b">
        <v>0</v>
      </c>
      <c r="K13" s="49"/>
      <c r="L13" s="48"/>
      <c r="M13" s="49"/>
      <c r="O13" s="10"/>
      <c r="P13" s="10"/>
    </row>
    <row r="14" spans="1:19" s="9" customFormat="1" ht="20.100000000000001" customHeight="1" x14ac:dyDescent="0.25">
      <c r="A14" s="51"/>
      <c r="B14" s="51"/>
      <c r="C14" s="51"/>
      <c r="D14" s="51"/>
      <c r="E14" s="51"/>
      <c r="F14" s="51"/>
      <c r="G14" s="51"/>
      <c r="H14" s="51"/>
      <c r="I14" s="52"/>
      <c r="J14" s="126" t="b">
        <v>0</v>
      </c>
      <c r="K14" s="52"/>
      <c r="L14" s="51"/>
      <c r="M14" s="52"/>
      <c r="O14" s="10"/>
      <c r="P14" s="10"/>
    </row>
    <row r="15" spans="1:19" s="9" customFormat="1" ht="20.100000000000001" customHeight="1" x14ac:dyDescent="0.25">
      <c r="A15" s="48"/>
      <c r="B15" s="48"/>
      <c r="C15" s="48"/>
      <c r="D15" s="48"/>
      <c r="E15" s="48"/>
      <c r="F15" s="48"/>
      <c r="G15" s="48"/>
      <c r="H15" s="48"/>
      <c r="I15" s="49"/>
      <c r="J15" s="127" t="b">
        <v>0</v>
      </c>
      <c r="K15" s="49"/>
      <c r="L15" s="48"/>
      <c r="M15" s="49"/>
      <c r="P15" s="10"/>
    </row>
    <row r="16" spans="1:19" s="9" customFormat="1" ht="20.100000000000001" customHeight="1" x14ac:dyDescent="0.25">
      <c r="A16" s="51"/>
      <c r="B16" s="51"/>
      <c r="C16" s="51"/>
      <c r="D16" s="51"/>
      <c r="E16" s="51"/>
      <c r="F16" s="51"/>
      <c r="G16" s="51"/>
      <c r="H16" s="51"/>
      <c r="I16" s="52"/>
      <c r="J16" s="126" t="b">
        <v>0</v>
      </c>
      <c r="K16" s="52"/>
      <c r="L16" s="51"/>
      <c r="M16" s="52"/>
      <c r="P16" s="10"/>
    </row>
    <row r="17" spans="1:16" s="9" customFormat="1" ht="20.100000000000001" customHeight="1" x14ac:dyDescent="0.25">
      <c r="A17" s="48"/>
      <c r="B17" s="48"/>
      <c r="C17" s="48"/>
      <c r="D17" s="48"/>
      <c r="E17" s="48"/>
      <c r="F17" s="48"/>
      <c r="G17" s="48"/>
      <c r="H17" s="48"/>
      <c r="I17" s="49"/>
      <c r="J17" s="127" t="b">
        <v>0</v>
      </c>
      <c r="K17" s="49"/>
      <c r="L17" s="48"/>
      <c r="M17" s="49"/>
      <c r="P17" s="10"/>
    </row>
    <row r="18" spans="1:16" s="9" customFormat="1" ht="20.100000000000001" customHeight="1" x14ac:dyDescent="0.25">
      <c r="A18" s="51"/>
      <c r="B18" s="51"/>
      <c r="C18" s="51"/>
      <c r="D18" s="51"/>
      <c r="E18" s="51"/>
      <c r="F18" s="51"/>
      <c r="G18" s="51"/>
      <c r="H18" s="51"/>
      <c r="I18" s="52"/>
      <c r="J18" s="126" t="b">
        <v>0</v>
      </c>
      <c r="K18" s="52"/>
      <c r="L18" s="51"/>
      <c r="M18" s="52"/>
      <c r="P18" s="10"/>
    </row>
    <row r="19" spans="1:16" s="9" customFormat="1" ht="20.100000000000001" customHeight="1" x14ac:dyDescent="0.25">
      <c r="A19" s="48"/>
      <c r="B19" s="48"/>
      <c r="C19" s="48"/>
      <c r="D19" s="48"/>
      <c r="E19" s="48"/>
      <c r="F19" s="48"/>
      <c r="G19" s="48"/>
      <c r="H19" s="48"/>
      <c r="I19" s="49"/>
      <c r="J19" s="127" t="b">
        <v>0</v>
      </c>
      <c r="K19" s="49"/>
      <c r="L19" s="48"/>
      <c r="M19" s="49"/>
      <c r="P19" s="10"/>
    </row>
    <row r="20" spans="1:16" ht="24.95" customHeight="1" x14ac:dyDescent="0.25">
      <c r="A20" s="27" t="s">
        <v>132</v>
      </c>
      <c r="B20" s="27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O20"/>
    </row>
    <row r="21" spans="1:16" ht="24.95" customHeight="1" x14ac:dyDescent="0.25">
      <c r="A21" s="134"/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O21"/>
    </row>
    <row r="22" spans="1:16" ht="24.9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O22"/>
    </row>
  </sheetData>
  <sheetProtection algorithmName="SHA-512" hashValue="tV5zQKwHZWeqYxEKx/ogaGxHYMhO5QliT1CNmJM/cI2mnHvygFNUv3cJkL55R4MX8ufjIWXEHeKf7ma+gfCz0w==" saltValue="OT81/sxnRTQ2Pat+YiNdkg==" spinCount="100000" sheet="1" selectLockedCells="1"/>
  <mergeCells count="17">
    <mergeCell ref="G6:I6"/>
    <mergeCell ref="L5:M5"/>
    <mergeCell ref="L6:M6"/>
    <mergeCell ref="A22:M22"/>
    <mergeCell ref="H2:M2"/>
    <mergeCell ref="A21:M21"/>
    <mergeCell ref="C20:M20"/>
    <mergeCell ref="A3:L3"/>
    <mergeCell ref="D10:F10"/>
    <mergeCell ref="B9:C9"/>
    <mergeCell ref="B10:C10"/>
    <mergeCell ref="H10:K10"/>
    <mergeCell ref="G7:M7"/>
    <mergeCell ref="C5:D5"/>
    <mergeCell ref="C6:D6"/>
    <mergeCell ref="C7:D7"/>
    <mergeCell ref="G5:I5"/>
  </mergeCells>
  <dataValidations count="1">
    <dataValidation type="list" showInputMessage="1" showErrorMessage="1" sqref="C7" xr:uid="{00000000-0002-0000-0100-000001000000}">
      <formula1>$P$4:$P$8</formula1>
    </dataValidation>
  </dataValidations>
  <hyperlinks>
    <hyperlink ref="G10" location="Swings!A1" display="Click Here" xr:uid="{00000000-0004-0000-0100-000000000000}"/>
    <hyperlink ref="L10" location="Locksets!A1" display="Click       Here" xr:uid="{5074E7BD-1C15-41DB-A066-A6EC38E47FF3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EC2FF0-CCF5-4EBA-A517-23CB91C2F335}">
          <x14:formula1>
            <xm:f>'Cutting Sheet'!$K$1:$K$9</xm:f>
          </x14:formula1>
          <xm:sqref>B11:C19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T56"/>
  <sheetViews>
    <sheetView showGridLines="0" showRowColHeaders="0" topLeftCell="A2" zoomScale="75" zoomScaleNormal="75" workbookViewId="0">
      <selection activeCell="T2" sqref="T2:T3"/>
    </sheetView>
  </sheetViews>
  <sheetFormatPr defaultRowHeight="15" x14ac:dyDescent="0.25"/>
  <cols>
    <col min="1" max="1" width="9" style="17" customWidth="1"/>
    <col min="2" max="9" width="9" style="14" customWidth="1"/>
    <col min="10" max="10" width="9" style="19" customWidth="1"/>
    <col min="15" max="16" width="8.42578125" customWidth="1"/>
  </cols>
  <sheetData>
    <row r="1" spans="1:20" ht="61.5" customHeight="1" x14ac:dyDescent="0.4">
      <c r="B1" s="20"/>
      <c r="C1" s="20"/>
      <c r="D1" s="20"/>
      <c r="E1" s="20"/>
      <c r="F1" s="147" t="s">
        <v>44</v>
      </c>
      <c r="G1" s="147"/>
      <c r="H1" s="147"/>
      <c r="I1" s="147"/>
      <c r="J1" s="147"/>
      <c r="K1" s="17"/>
      <c r="L1" s="20"/>
      <c r="M1" s="20"/>
      <c r="N1" s="20"/>
      <c r="O1" s="20"/>
      <c r="P1" s="164" t="s">
        <v>196</v>
      </c>
      <c r="Q1" s="164"/>
      <c r="R1" s="164"/>
      <c r="S1" s="164"/>
      <c r="T1" s="164"/>
    </row>
    <row r="2" spans="1:20" x14ac:dyDescent="0.25">
      <c r="A2" s="150">
        <v>1</v>
      </c>
      <c r="B2" s="21"/>
      <c r="C2" s="21"/>
      <c r="D2" s="21"/>
      <c r="E2" s="21"/>
      <c r="F2" s="21"/>
      <c r="G2" s="21"/>
      <c r="H2" s="21"/>
      <c r="I2" s="21"/>
      <c r="J2" s="148">
        <v>2</v>
      </c>
      <c r="K2" s="150" t="s">
        <v>204</v>
      </c>
      <c r="L2" s="21"/>
      <c r="M2" s="21"/>
      <c r="N2" s="21"/>
      <c r="O2" s="21"/>
      <c r="P2" s="21"/>
      <c r="Q2" s="21"/>
      <c r="R2" s="21"/>
      <c r="S2" s="21"/>
      <c r="T2" s="148" t="s">
        <v>205</v>
      </c>
    </row>
    <row r="3" spans="1:20" s="6" customFormat="1" ht="15.75" x14ac:dyDescent="0.25">
      <c r="A3" s="151"/>
      <c r="B3" s="5"/>
      <c r="C3" s="5"/>
      <c r="D3" s="5"/>
      <c r="E3" s="5"/>
      <c r="F3" s="5"/>
      <c r="G3" s="5"/>
      <c r="H3" s="5"/>
      <c r="I3" s="5"/>
      <c r="J3" s="149"/>
      <c r="K3" s="151"/>
      <c r="L3" s="5"/>
      <c r="M3" s="5"/>
      <c r="N3" s="5"/>
      <c r="O3" s="5"/>
      <c r="P3" s="5"/>
      <c r="Q3" s="5"/>
      <c r="R3" s="5"/>
      <c r="S3" s="5"/>
      <c r="T3" s="149"/>
    </row>
    <row r="4" spans="1:20" x14ac:dyDescent="0.25">
      <c r="A4" s="118"/>
      <c r="B4" s="15"/>
      <c r="C4" s="15"/>
      <c r="D4" s="15"/>
      <c r="E4" s="15"/>
      <c r="F4" s="15"/>
      <c r="G4" s="15"/>
      <c r="H4" s="15"/>
      <c r="I4" s="15"/>
      <c r="J4" s="122"/>
      <c r="K4" s="118"/>
      <c r="L4" s="15"/>
      <c r="M4" s="15"/>
      <c r="N4" s="15"/>
      <c r="O4" s="15"/>
      <c r="P4" s="15"/>
      <c r="Q4" s="15"/>
      <c r="R4" s="15"/>
      <c r="S4" s="15"/>
      <c r="T4" s="122"/>
    </row>
    <row r="5" spans="1:20" x14ac:dyDescent="0.25">
      <c r="A5" s="118"/>
      <c r="B5" s="15"/>
      <c r="C5" s="15"/>
      <c r="D5" s="15"/>
      <c r="E5" s="15"/>
      <c r="F5" s="15"/>
      <c r="G5" s="15"/>
      <c r="H5" s="15"/>
      <c r="I5" s="15"/>
      <c r="J5" s="122"/>
      <c r="K5" s="118"/>
      <c r="L5" s="15"/>
      <c r="M5" s="15"/>
      <c r="N5" s="15"/>
      <c r="O5" s="15"/>
      <c r="P5" s="15"/>
      <c r="Q5" s="15"/>
      <c r="R5" s="15"/>
      <c r="S5" s="15"/>
      <c r="T5" s="122"/>
    </row>
    <row r="6" spans="1:20" x14ac:dyDescent="0.25">
      <c r="A6" s="118"/>
      <c r="B6" s="15"/>
      <c r="C6" s="15"/>
      <c r="D6" s="15"/>
      <c r="E6" s="15"/>
      <c r="F6" s="15"/>
      <c r="G6" s="15"/>
      <c r="H6" s="15"/>
      <c r="I6" s="15"/>
      <c r="J6" s="122"/>
      <c r="K6" s="118"/>
      <c r="L6" s="15"/>
      <c r="M6" s="15"/>
      <c r="N6" s="15"/>
      <c r="O6" s="15"/>
      <c r="P6" s="15"/>
      <c r="Q6" s="15"/>
      <c r="R6" s="15"/>
      <c r="S6" s="15"/>
      <c r="T6" s="122"/>
    </row>
    <row r="7" spans="1:20" x14ac:dyDescent="0.25">
      <c r="A7" s="118"/>
      <c r="B7" s="15"/>
      <c r="C7" s="15"/>
      <c r="D7" s="15"/>
      <c r="E7" s="15"/>
      <c r="F7" s="15"/>
      <c r="G7" s="15"/>
      <c r="H7" s="15"/>
      <c r="I7" s="15"/>
      <c r="J7" s="122"/>
      <c r="K7" s="118"/>
      <c r="L7" s="15"/>
      <c r="M7" s="15"/>
      <c r="N7" s="15"/>
      <c r="O7" s="15"/>
      <c r="P7" s="15"/>
      <c r="Q7" s="15"/>
      <c r="R7" s="15"/>
      <c r="S7" s="15"/>
      <c r="T7" s="122"/>
    </row>
    <row r="8" spans="1:20" x14ac:dyDescent="0.25">
      <c r="A8" s="118"/>
      <c r="B8" s="15"/>
      <c r="C8" s="15"/>
      <c r="D8" s="15"/>
      <c r="E8" s="15"/>
      <c r="F8" s="15"/>
      <c r="G8" s="15"/>
      <c r="H8" s="15"/>
      <c r="I8" s="15"/>
      <c r="J8" s="122"/>
      <c r="K8" s="118"/>
      <c r="L8" s="15"/>
      <c r="M8" s="15"/>
      <c r="N8" s="15"/>
      <c r="O8" s="15"/>
      <c r="P8" s="15"/>
      <c r="Q8" s="15"/>
      <c r="R8" s="15"/>
      <c r="S8" s="15"/>
      <c r="T8" s="122"/>
    </row>
    <row r="9" spans="1:20" x14ac:dyDescent="0.25">
      <c r="A9" s="118"/>
      <c r="B9" s="15"/>
      <c r="C9" s="15"/>
      <c r="D9" s="15"/>
      <c r="E9" s="15"/>
      <c r="F9" s="15"/>
      <c r="G9" s="15"/>
      <c r="H9" s="15"/>
      <c r="I9" s="15"/>
      <c r="J9" s="122"/>
      <c r="K9" s="118"/>
      <c r="L9" s="15"/>
      <c r="M9" s="15"/>
      <c r="N9" s="15"/>
      <c r="O9" s="15"/>
      <c r="P9" s="15"/>
      <c r="Q9" s="15"/>
      <c r="R9" s="15"/>
      <c r="S9" s="15"/>
      <c r="T9" s="122"/>
    </row>
    <row r="10" spans="1:20" x14ac:dyDescent="0.25">
      <c r="A10" s="118"/>
      <c r="B10" s="15"/>
      <c r="C10" s="15"/>
      <c r="D10" s="15"/>
      <c r="E10" s="15"/>
      <c r="F10" s="15"/>
      <c r="G10" s="15"/>
      <c r="H10" s="15"/>
      <c r="I10" s="15"/>
      <c r="J10" s="122"/>
      <c r="K10" s="118"/>
      <c r="L10" s="15"/>
      <c r="M10" s="15"/>
      <c r="N10" s="15"/>
      <c r="O10" s="15"/>
      <c r="P10" s="15"/>
      <c r="Q10" s="15"/>
      <c r="R10" s="15"/>
      <c r="S10" s="15"/>
      <c r="T10" s="122"/>
    </row>
    <row r="11" spans="1:20" x14ac:dyDescent="0.25">
      <c r="A11" s="118" t="s">
        <v>45</v>
      </c>
      <c r="B11" s="154" t="s">
        <v>46</v>
      </c>
      <c r="C11" s="154"/>
      <c r="D11" s="154"/>
      <c r="E11" s="154"/>
      <c r="F11" s="152" t="s">
        <v>49</v>
      </c>
      <c r="G11" s="152"/>
      <c r="H11" s="152"/>
      <c r="I11" s="152"/>
      <c r="J11" s="122"/>
      <c r="K11" s="118" t="s">
        <v>45</v>
      </c>
      <c r="L11" s="154" t="s">
        <v>197</v>
      </c>
      <c r="M11" s="154"/>
      <c r="N11" s="154"/>
      <c r="O11" s="154"/>
      <c r="P11" s="152" t="s">
        <v>197</v>
      </c>
      <c r="Q11" s="152"/>
      <c r="R11" s="152"/>
      <c r="S11" s="152"/>
      <c r="T11" s="122"/>
    </row>
    <row r="12" spans="1:20" ht="15.75" thickBot="1" x14ac:dyDescent="0.3">
      <c r="A12" s="119"/>
      <c r="B12" s="153" t="s">
        <v>48</v>
      </c>
      <c r="C12" s="153"/>
      <c r="D12" s="153"/>
      <c r="E12" s="153"/>
      <c r="F12" s="155" t="s">
        <v>47</v>
      </c>
      <c r="G12" s="155"/>
      <c r="H12" s="155"/>
      <c r="I12" s="155"/>
      <c r="J12" s="123"/>
      <c r="K12" s="119"/>
      <c r="L12" s="153" t="s">
        <v>198</v>
      </c>
      <c r="M12" s="153"/>
      <c r="N12" s="153"/>
      <c r="O12" s="153"/>
      <c r="P12" s="155" t="s">
        <v>199</v>
      </c>
      <c r="Q12" s="155"/>
      <c r="R12" s="155"/>
      <c r="S12" s="155"/>
      <c r="T12" s="123"/>
    </row>
    <row r="13" spans="1:20" ht="15.75" thickTop="1" x14ac:dyDescent="0.25">
      <c r="A13" s="118"/>
      <c r="B13" s="15"/>
      <c r="C13" s="15"/>
      <c r="D13" s="15"/>
      <c r="E13" s="15"/>
      <c r="F13" s="15"/>
      <c r="G13" s="15"/>
      <c r="H13" s="15"/>
      <c r="I13" s="15"/>
      <c r="J13" s="122"/>
      <c r="K13" s="118"/>
      <c r="L13" s="15"/>
      <c r="M13" s="15"/>
      <c r="N13" s="15"/>
      <c r="O13" s="15"/>
      <c r="P13" s="15"/>
      <c r="Q13" s="15"/>
      <c r="R13" s="15"/>
      <c r="S13" s="15"/>
      <c r="T13" s="122"/>
    </row>
    <row r="14" spans="1:20" s="6" customFormat="1" ht="15.75" x14ac:dyDescent="0.25">
      <c r="A14" s="150">
        <v>3</v>
      </c>
      <c r="B14" s="5"/>
      <c r="C14" s="5"/>
      <c r="D14" s="5"/>
      <c r="E14" s="5"/>
      <c r="F14" s="5"/>
      <c r="G14" s="5"/>
      <c r="H14" s="5"/>
      <c r="I14" s="5"/>
      <c r="J14" s="148">
        <v>4</v>
      </c>
      <c r="K14" s="150" t="s">
        <v>206</v>
      </c>
      <c r="L14" s="5"/>
      <c r="M14" s="5"/>
      <c r="N14" s="5"/>
      <c r="O14" s="5"/>
      <c r="P14" s="5"/>
      <c r="Q14" s="5"/>
      <c r="R14" s="5"/>
      <c r="S14" s="5"/>
      <c r="T14" s="148" t="s">
        <v>207</v>
      </c>
    </row>
    <row r="15" spans="1:20" x14ac:dyDescent="0.25">
      <c r="A15" s="151"/>
      <c r="B15" s="15"/>
      <c r="C15" s="15"/>
      <c r="D15" s="15"/>
      <c r="E15" s="15"/>
      <c r="F15" s="15"/>
      <c r="G15" s="15"/>
      <c r="H15" s="15"/>
      <c r="I15" s="15"/>
      <c r="J15" s="149"/>
      <c r="K15" s="151"/>
      <c r="L15" s="15"/>
      <c r="M15" s="15"/>
      <c r="N15" s="15"/>
      <c r="O15" s="15"/>
      <c r="P15" s="15"/>
      <c r="Q15" s="15"/>
      <c r="R15" s="15"/>
      <c r="S15" s="15"/>
      <c r="T15" s="149"/>
    </row>
    <row r="16" spans="1:20" x14ac:dyDescent="0.25">
      <c r="A16" s="118"/>
      <c r="B16" s="15"/>
      <c r="C16" s="15"/>
      <c r="D16" s="15"/>
      <c r="E16" s="15"/>
      <c r="F16" s="15"/>
      <c r="G16" s="15"/>
      <c r="H16" s="15"/>
      <c r="I16" s="15"/>
      <c r="J16" s="122"/>
      <c r="K16" s="118"/>
      <c r="L16" s="15"/>
      <c r="M16" s="15"/>
      <c r="N16" s="15"/>
      <c r="O16" s="15"/>
      <c r="P16" s="15"/>
      <c r="Q16" s="15"/>
      <c r="R16" s="15"/>
      <c r="S16" s="15"/>
      <c r="T16" s="122"/>
    </row>
    <row r="17" spans="1:20" x14ac:dyDescent="0.25">
      <c r="A17" s="118"/>
      <c r="B17" s="15"/>
      <c r="C17" s="15"/>
      <c r="D17" s="15"/>
      <c r="E17" s="15"/>
      <c r="F17" s="15"/>
      <c r="G17" s="15"/>
      <c r="H17" s="15"/>
      <c r="I17" s="15"/>
      <c r="J17" s="122"/>
      <c r="K17" s="118"/>
      <c r="L17" s="15"/>
      <c r="M17" s="15"/>
      <c r="N17" s="15"/>
      <c r="O17" s="15"/>
      <c r="P17" s="15"/>
      <c r="Q17" s="15"/>
      <c r="R17" s="15"/>
      <c r="S17" s="15"/>
      <c r="T17" s="122"/>
    </row>
    <row r="18" spans="1:20" x14ac:dyDescent="0.25">
      <c r="A18" s="118"/>
      <c r="B18" s="15"/>
      <c r="C18" s="15"/>
      <c r="D18" s="15"/>
      <c r="E18" s="15"/>
      <c r="F18" s="15"/>
      <c r="G18" s="15"/>
      <c r="H18" s="15"/>
      <c r="I18" s="15"/>
      <c r="J18" s="122"/>
      <c r="K18" s="118"/>
      <c r="L18" s="15"/>
      <c r="M18" s="15"/>
      <c r="N18" s="15"/>
      <c r="O18" s="15"/>
      <c r="P18" s="15"/>
      <c r="Q18" s="15"/>
      <c r="R18" s="15"/>
      <c r="S18" s="15"/>
      <c r="T18" s="122"/>
    </row>
    <row r="19" spans="1:20" x14ac:dyDescent="0.25">
      <c r="A19" s="118"/>
      <c r="B19" s="15"/>
      <c r="C19" s="15"/>
      <c r="D19" s="15"/>
      <c r="E19" s="15"/>
      <c r="F19" s="15"/>
      <c r="G19" s="15"/>
      <c r="H19" s="15"/>
      <c r="I19" s="15"/>
      <c r="J19" s="122"/>
      <c r="K19" s="118"/>
      <c r="L19" s="15"/>
      <c r="M19" s="15"/>
      <c r="N19" s="15"/>
      <c r="O19" s="15"/>
      <c r="P19" s="15"/>
      <c r="Q19" s="15"/>
      <c r="R19" s="15"/>
      <c r="S19" s="15"/>
      <c r="T19" s="122"/>
    </row>
    <row r="20" spans="1:20" x14ac:dyDescent="0.25">
      <c r="A20" s="118"/>
      <c r="B20" s="15"/>
      <c r="C20" s="15"/>
      <c r="D20" s="15"/>
      <c r="E20" s="15"/>
      <c r="F20" s="15"/>
      <c r="G20" s="15"/>
      <c r="H20" s="15"/>
      <c r="I20" s="15"/>
      <c r="J20" s="122"/>
      <c r="K20" s="118"/>
      <c r="L20" s="15"/>
      <c r="M20" s="15"/>
      <c r="N20" s="15"/>
      <c r="O20" s="15"/>
      <c r="P20" s="15"/>
      <c r="Q20" s="15"/>
      <c r="R20" s="15"/>
      <c r="S20" s="15"/>
      <c r="T20" s="122"/>
    </row>
    <row r="21" spans="1:20" x14ac:dyDescent="0.25">
      <c r="A21" s="118"/>
      <c r="B21" s="15"/>
      <c r="C21" s="15"/>
      <c r="D21" s="15"/>
      <c r="E21" s="15"/>
      <c r="F21" s="15"/>
      <c r="G21" s="15"/>
      <c r="H21" s="15"/>
      <c r="I21" s="15"/>
      <c r="J21" s="122"/>
      <c r="K21" s="118"/>
      <c r="L21" s="15"/>
      <c r="M21" s="15"/>
      <c r="N21" s="15"/>
      <c r="O21" s="15"/>
      <c r="P21" s="15"/>
      <c r="Q21" s="15"/>
      <c r="R21" s="15"/>
      <c r="S21" s="15"/>
      <c r="T21" s="122"/>
    </row>
    <row r="22" spans="1:20" x14ac:dyDescent="0.25">
      <c r="A22" s="118"/>
      <c r="B22" s="15"/>
      <c r="C22" s="15"/>
      <c r="D22" s="15"/>
      <c r="E22" s="15"/>
      <c r="F22" s="15"/>
      <c r="G22" s="15"/>
      <c r="H22" s="15"/>
      <c r="I22" s="15"/>
      <c r="J22" s="122"/>
      <c r="K22" s="118"/>
      <c r="L22" s="15"/>
      <c r="M22" s="15"/>
      <c r="N22" s="15"/>
      <c r="O22" s="15"/>
      <c r="P22" s="15"/>
      <c r="Q22" s="15"/>
      <c r="R22" s="15"/>
      <c r="S22" s="15"/>
      <c r="T22" s="122"/>
    </row>
    <row r="23" spans="1:20" x14ac:dyDescent="0.25">
      <c r="A23" s="118"/>
      <c r="B23" s="154" t="s">
        <v>46</v>
      </c>
      <c r="C23" s="154"/>
      <c r="D23" s="154"/>
      <c r="E23" s="154"/>
      <c r="F23" s="152" t="s">
        <v>49</v>
      </c>
      <c r="G23" s="152"/>
      <c r="H23" s="152"/>
      <c r="I23" s="152"/>
      <c r="J23" s="122"/>
      <c r="K23" s="118"/>
      <c r="L23" s="154" t="s">
        <v>200</v>
      </c>
      <c r="M23" s="154"/>
      <c r="N23" s="154"/>
      <c r="O23" s="154"/>
      <c r="P23" s="152" t="s">
        <v>201</v>
      </c>
      <c r="Q23" s="152"/>
      <c r="R23" s="152"/>
      <c r="S23" s="152"/>
      <c r="T23" s="122"/>
    </row>
    <row r="24" spans="1:20" ht="15.75" thickBot="1" x14ac:dyDescent="0.3">
      <c r="A24" s="120"/>
      <c r="B24" s="153" t="s">
        <v>50</v>
      </c>
      <c r="C24" s="153"/>
      <c r="D24" s="153"/>
      <c r="E24" s="153"/>
      <c r="F24" s="153" t="s">
        <v>51</v>
      </c>
      <c r="G24" s="153"/>
      <c r="H24" s="153"/>
      <c r="I24" s="153"/>
      <c r="J24" s="123"/>
      <c r="K24" s="120"/>
      <c r="L24" s="153" t="s">
        <v>202</v>
      </c>
      <c r="M24" s="153"/>
      <c r="N24" s="153"/>
      <c r="O24" s="153"/>
      <c r="P24" s="153" t="s">
        <v>203</v>
      </c>
      <c r="Q24" s="153"/>
      <c r="R24" s="153"/>
      <c r="S24" s="153"/>
      <c r="T24" s="123"/>
    </row>
    <row r="25" spans="1:20" ht="15.75" thickTop="1" x14ac:dyDescent="0.25">
      <c r="A25" s="121"/>
      <c r="B25" s="82"/>
      <c r="C25" s="82"/>
      <c r="D25" s="82"/>
      <c r="E25" s="15"/>
      <c r="F25" s="15"/>
      <c r="G25" s="82"/>
      <c r="H25" s="82"/>
      <c r="I25" s="82"/>
      <c r="J25" s="122"/>
      <c r="K25" s="121"/>
      <c r="L25" s="82"/>
      <c r="M25" s="82"/>
      <c r="N25" s="82"/>
      <c r="O25" s="15"/>
      <c r="P25" s="15"/>
      <c r="Q25" s="82"/>
      <c r="R25" s="82"/>
      <c r="S25" s="82"/>
      <c r="T25" s="122"/>
    </row>
    <row r="26" spans="1:20" s="6" customFormat="1" ht="15.75" x14ac:dyDescent="0.25">
      <c r="A26" s="150">
        <v>5</v>
      </c>
      <c r="B26" s="5"/>
      <c r="C26" s="5"/>
      <c r="D26" s="5"/>
      <c r="E26" s="5"/>
      <c r="F26" s="5"/>
      <c r="G26" s="5"/>
      <c r="H26" s="5"/>
      <c r="I26" s="5"/>
      <c r="J26" s="148">
        <v>6</v>
      </c>
      <c r="K26" s="150" t="s">
        <v>208</v>
      </c>
      <c r="L26" s="5"/>
      <c r="M26" s="5"/>
      <c r="N26" s="5"/>
      <c r="O26" s="5"/>
      <c r="P26" s="5"/>
      <c r="Q26" s="5"/>
      <c r="R26" s="5"/>
      <c r="S26" s="5"/>
      <c r="T26" s="148" t="s">
        <v>209</v>
      </c>
    </row>
    <row r="27" spans="1:20" x14ac:dyDescent="0.25">
      <c r="A27" s="151"/>
      <c r="B27" s="15"/>
      <c r="C27" s="15"/>
      <c r="D27" s="15"/>
      <c r="E27" s="15"/>
      <c r="F27" s="15"/>
      <c r="G27" s="15"/>
      <c r="H27" s="15"/>
      <c r="I27" s="15"/>
      <c r="J27" s="149"/>
      <c r="K27" s="151"/>
      <c r="L27" s="15"/>
      <c r="M27" s="15"/>
      <c r="N27" s="15"/>
      <c r="O27" s="15"/>
      <c r="P27" s="15"/>
      <c r="Q27" s="15"/>
      <c r="R27" s="15"/>
      <c r="S27" s="15"/>
      <c r="T27" s="149"/>
    </row>
    <row r="28" spans="1:20" x14ac:dyDescent="0.25">
      <c r="A28" s="118"/>
      <c r="B28" s="15"/>
      <c r="C28" s="15"/>
      <c r="D28" s="15"/>
      <c r="E28" s="15"/>
      <c r="F28" s="15"/>
      <c r="G28" s="15"/>
      <c r="H28" s="15"/>
      <c r="I28" s="15"/>
      <c r="J28" s="122"/>
      <c r="K28" s="118"/>
      <c r="L28" s="15"/>
      <c r="M28" s="15"/>
      <c r="N28" s="15"/>
      <c r="O28" s="15"/>
      <c r="P28" s="15"/>
      <c r="Q28" s="15"/>
      <c r="R28" s="15"/>
      <c r="S28" s="15"/>
      <c r="T28" s="122"/>
    </row>
    <row r="29" spans="1:20" x14ac:dyDescent="0.25">
      <c r="A29" s="118"/>
      <c r="B29" s="15"/>
      <c r="C29" s="15"/>
      <c r="D29" s="15"/>
      <c r="E29" s="15"/>
      <c r="F29" s="15"/>
      <c r="G29" s="15"/>
      <c r="H29" s="15"/>
      <c r="I29" s="15"/>
      <c r="J29" s="122"/>
      <c r="K29" s="118"/>
      <c r="L29" s="15"/>
      <c r="M29" s="15"/>
      <c r="N29" s="15"/>
      <c r="O29" s="15"/>
      <c r="P29" s="15"/>
      <c r="Q29" s="15"/>
      <c r="R29" s="15"/>
      <c r="S29" s="15"/>
      <c r="T29" s="122"/>
    </row>
    <row r="30" spans="1:20" x14ac:dyDescent="0.25">
      <c r="A30" s="118"/>
      <c r="B30" s="15"/>
      <c r="C30" s="15"/>
      <c r="D30" s="15"/>
      <c r="E30" s="15"/>
      <c r="F30" s="15"/>
      <c r="G30" s="15"/>
      <c r="H30" s="15"/>
      <c r="I30" s="15"/>
      <c r="J30" s="122"/>
      <c r="K30" s="118"/>
      <c r="L30" s="15"/>
      <c r="M30" s="15"/>
      <c r="N30" s="15"/>
      <c r="O30" s="15"/>
      <c r="P30" s="15"/>
      <c r="Q30" s="15"/>
      <c r="R30" s="15"/>
      <c r="S30" s="15"/>
      <c r="T30" s="122"/>
    </row>
    <row r="31" spans="1:20" x14ac:dyDescent="0.25">
      <c r="A31" s="118"/>
      <c r="B31" s="15"/>
      <c r="C31" s="15"/>
      <c r="D31" s="15"/>
      <c r="E31" s="15"/>
      <c r="F31" s="15"/>
      <c r="G31" s="15"/>
      <c r="H31" s="15"/>
      <c r="I31" s="15"/>
      <c r="J31" s="122"/>
      <c r="K31" s="118"/>
      <c r="L31" s="15"/>
      <c r="M31" s="15"/>
      <c r="N31" s="15"/>
      <c r="O31" s="15"/>
      <c r="P31" s="15"/>
      <c r="Q31" s="15"/>
      <c r="R31" s="15"/>
      <c r="S31" s="15"/>
      <c r="T31" s="122"/>
    </row>
    <row r="32" spans="1:20" x14ac:dyDescent="0.25">
      <c r="A32" s="118"/>
      <c r="B32" s="15"/>
      <c r="C32" s="15"/>
      <c r="D32" s="15"/>
      <c r="E32" s="15"/>
      <c r="F32" s="15"/>
      <c r="G32" s="15"/>
      <c r="H32" s="15"/>
      <c r="I32" s="15"/>
      <c r="J32" s="122"/>
      <c r="K32" s="118"/>
      <c r="L32" s="15"/>
      <c r="M32" s="15"/>
      <c r="N32" s="15"/>
      <c r="O32" s="15"/>
      <c r="P32" s="15"/>
      <c r="Q32" s="15"/>
      <c r="R32" s="15"/>
      <c r="S32" s="15"/>
      <c r="T32" s="122"/>
    </row>
    <row r="33" spans="1:20" ht="6.95" customHeight="1" x14ac:dyDescent="0.25">
      <c r="A33" s="118"/>
      <c r="B33" s="15"/>
      <c r="C33" s="15"/>
      <c r="D33" s="15"/>
      <c r="E33" s="15"/>
      <c r="F33" s="15"/>
      <c r="G33" s="15"/>
      <c r="H33" s="15"/>
      <c r="I33" s="15"/>
      <c r="J33" s="122"/>
      <c r="K33" s="118"/>
      <c r="L33" s="15"/>
      <c r="M33" s="15"/>
      <c r="N33" s="15"/>
      <c r="O33" s="15"/>
      <c r="P33" s="15"/>
      <c r="Q33" s="15"/>
      <c r="R33" s="15"/>
      <c r="S33" s="15"/>
      <c r="T33" s="122"/>
    </row>
    <row r="34" spans="1:20" x14ac:dyDescent="0.25">
      <c r="A34" s="118"/>
      <c r="B34" s="154" t="s">
        <v>46</v>
      </c>
      <c r="C34" s="154"/>
      <c r="D34" s="154"/>
      <c r="E34" s="15"/>
      <c r="F34" s="15"/>
      <c r="G34" s="152" t="s">
        <v>49</v>
      </c>
      <c r="H34" s="152"/>
      <c r="I34" s="152"/>
      <c r="J34" s="122"/>
      <c r="K34" s="118"/>
      <c r="L34" s="154" t="s">
        <v>46</v>
      </c>
      <c r="M34" s="154"/>
      <c r="N34" s="154"/>
      <c r="O34" s="15"/>
      <c r="P34" s="15"/>
      <c r="Q34" s="152" t="s">
        <v>49</v>
      </c>
      <c r="R34" s="152"/>
      <c r="S34" s="152"/>
      <c r="T34" s="122"/>
    </row>
    <row r="35" spans="1:20" ht="15.75" thickBot="1" x14ac:dyDescent="0.3">
      <c r="A35" s="160" t="s">
        <v>52</v>
      </c>
      <c r="B35" s="161"/>
      <c r="C35" s="161"/>
      <c r="D35" s="161"/>
      <c r="E35" s="22"/>
      <c r="F35" s="22"/>
      <c r="G35" s="162" t="s">
        <v>53</v>
      </c>
      <c r="H35" s="162"/>
      <c r="I35" s="162"/>
      <c r="J35" s="163"/>
      <c r="K35" s="160" t="s">
        <v>52</v>
      </c>
      <c r="L35" s="161"/>
      <c r="M35" s="161"/>
      <c r="N35" s="161"/>
      <c r="O35" s="22"/>
      <c r="P35" s="22"/>
      <c r="Q35" s="162" t="s">
        <v>53</v>
      </c>
      <c r="R35" s="162"/>
      <c r="S35" s="162"/>
      <c r="T35" s="163"/>
    </row>
    <row r="36" spans="1:20" ht="15.75" thickTop="1" x14ac:dyDescent="0.25">
      <c r="A36" s="118"/>
      <c r="B36" s="15"/>
      <c r="C36" s="15"/>
      <c r="D36" s="15"/>
      <c r="E36" s="15"/>
      <c r="F36" s="15"/>
      <c r="G36" s="15"/>
      <c r="H36" s="15"/>
      <c r="I36" s="15"/>
      <c r="J36" s="122"/>
      <c r="K36" s="118"/>
      <c r="L36" s="15"/>
      <c r="M36" s="15"/>
      <c r="N36" s="15"/>
      <c r="O36" s="15"/>
      <c r="P36" s="15"/>
      <c r="Q36" s="15"/>
      <c r="R36" s="15"/>
      <c r="S36" s="15"/>
      <c r="T36" s="122"/>
    </row>
    <row r="37" spans="1:20" ht="15.75" customHeight="1" x14ac:dyDescent="0.25">
      <c r="A37" s="150">
        <v>7</v>
      </c>
      <c r="B37" s="15"/>
      <c r="C37" s="15"/>
      <c r="D37" s="15"/>
      <c r="E37" s="15"/>
      <c r="F37" s="15"/>
      <c r="G37" s="15"/>
      <c r="H37" s="15"/>
      <c r="I37" s="15"/>
      <c r="J37" s="148">
        <v>8</v>
      </c>
      <c r="K37" s="150" t="s">
        <v>210</v>
      </c>
      <c r="L37" s="15"/>
      <c r="M37" s="15"/>
      <c r="N37" s="15"/>
      <c r="O37" s="15"/>
      <c r="P37" s="15"/>
      <c r="Q37" s="15"/>
      <c r="R37" s="15"/>
      <c r="S37" s="15"/>
      <c r="T37" s="148" t="s">
        <v>211</v>
      </c>
    </row>
    <row r="38" spans="1:20" s="6" customFormat="1" ht="15.75" x14ac:dyDescent="0.25">
      <c r="A38" s="151"/>
      <c r="B38" s="5"/>
      <c r="C38" s="5"/>
      <c r="D38" s="5"/>
      <c r="E38" s="5"/>
      <c r="F38" s="5"/>
      <c r="G38" s="5"/>
      <c r="H38" s="5"/>
      <c r="I38" s="5"/>
      <c r="J38" s="149"/>
      <c r="K38" s="151"/>
      <c r="L38" s="5"/>
      <c r="M38" s="5"/>
      <c r="N38" s="5"/>
      <c r="O38" s="5"/>
      <c r="P38" s="5"/>
      <c r="Q38" s="5"/>
      <c r="R38" s="5"/>
      <c r="S38" s="5"/>
      <c r="T38" s="149"/>
    </row>
    <row r="39" spans="1:20" x14ac:dyDescent="0.25">
      <c r="A39" s="118"/>
      <c r="B39" s="15"/>
      <c r="C39" s="15"/>
      <c r="D39" s="15"/>
      <c r="E39" s="15"/>
      <c r="F39" s="15"/>
      <c r="G39" s="15"/>
      <c r="H39" s="15"/>
      <c r="I39" s="15"/>
      <c r="J39" s="122"/>
      <c r="K39" s="118"/>
      <c r="L39" s="15"/>
      <c r="M39" s="15"/>
      <c r="N39" s="15"/>
      <c r="O39" s="15"/>
      <c r="P39" s="15"/>
      <c r="Q39" s="15"/>
      <c r="R39" s="15"/>
      <c r="S39" s="15"/>
      <c r="T39" s="122"/>
    </row>
    <row r="40" spans="1:20" x14ac:dyDescent="0.25">
      <c r="A40" s="118"/>
      <c r="B40" s="15"/>
      <c r="C40" s="15"/>
      <c r="D40" s="15"/>
      <c r="E40" s="15"/>
      <c r="F40" s="15"/>
      <c r="G40" s="15"/>
      <c r="H40" s="15"/>
      <c r="I40" s="15"/>
      <c r="J40" s="122"/>
      <c r="K40" s="118"/>
      <c r="L40" s="15"/>
      <c r="M40" s="15"/>
      <c r="N40" s="15"/>
      <c r="O40" s="15"/>
      <c r="P40" s="15"/>
      <c r="Q40" s="15"/>
      <c r="R40" s="15"/>
      <c r="S40" s="15"/>
      <c r="T40" s="122"/>
    </row>
    <row r="41" spans="1:20" x14ac:dyDescent="0.25">
      <c r="A41" s="118"/>
      <c r="B41" s="15"/>
      <c r="C41" s="15"/>
      <c r="D41" s="15"/>
      <c r="E41" s="15"/>
      <c r="F41" s="15"/>
      <c r="G41" s="15"/>
      <c r="H41" s="15"/>
      <c r="I41" s="15"/>
      <c r="J41" s="122"/>
      <c r="K41" s="118"/>
      <c r="L41" s="15"/>
      <c r="M41" s="15"/>
      <c r="N41" s="15"/>
      <c r="O41" s="15"/>
      <c r="P41" s="15"/>
      <c r="Q41" s="15"/>
      <c r="R41" s="15"/>
      <c r="S41" s="15"/>
      <c r="T41" s="122"/>
    </row>
    <row r="42" spans="1:20" x14ac:dyDescent="0.25">
      <c r="A42" s="118"/>
      <c r="B42" s="15"/>
      <c r="C42" s="15"/>
      <c r="D42" s="15"/>
      <c r="E42" s="15"/>
      <c r="F42" s="15"/>
      <c r="G42" s="15"/>
      <c r="H42" s="15"/>
      <c r="I42" s="15"/>
      <c r="J42" s="122"/>
      <c r="K42" s="118"/>
      <c r="L42" s="15"/>
      <c r="M42" s="15"/>
      <c r="N42" s="15"/>
      <c r="O42" s="15"/>
      <c r="P42" s="15"/>
      <c r="Q42" s="15"/>
      <c r="R42" s="15"/>
      <c r="S42" s="15"/>
      <c r="T42" s="122"/>
    </row>
    <row r="43" spans="1:20" x14ac:dyDescent="0.25">
      <c r="A43" s="118"/>
      <c r="B43" s="15"/>
      <c r="C43" s="15"/>
      <c r="D43" s="15"/>
      <c r="E43" s="15"/>
      <c r="F43" s="15"/>
      <c r="G43" s="15"/>
      <c r="H43" s="15"/>
      <c r="I43" s="15"/>
      <c r="J43" s="122"/>
      <c r="K43" s="118"/>
      <c r="L43" s="15"/>
      <c r="M43" s="15"/>
      <c r="N43" s="15"/>
      <c r="O43" s="15"/>
      <c r="P43" s="15"/>
      <c r="Q43" s="15"/>
      <c r="R43" s="15"/>
      <c r="S43" s="15"/>
      <c r="T43" s="122"/>
    </row>
    <row r="44" spans="1:20" x14ac:dyDescent="0.25">
      <c r="A44" s="118"/>
      <c r="B44" s="15"/>
      <c r="C44" s="15"/>
      <c r="D44" s="15"/>
      <c r="E44" s="15"/>
      <c r="F44" s="15"/>
      <c r="G44" s="15"/>
      <c r="H44" s="15"/>
      <c r="I44" s="15"/>
      <c r="J44" s="122"/>
      <c r="K44" s="118"/>
      <c r="L44" s="15"/>
      <c r="M44" s="15"/>
      <c r="N44" s="15"/>
      <c r="O44" s="15"/>
      <c r="P44" s="15"/>
      <c r="Q44" s="15"/>
      <c r="R44" s="15"/>
      <c r="S44" s="15"/>
      <c r="T44" s="122"/>
    </row>
    <row r="45" spans="1:20" x14ac:dyDescent="0.25">
      <c r="A45" s="118"/>
      <c r="B45" s="154" t="s">
        <v>46</v>
      </c>
      <c r="C45" s="154"/>
      <c r="D45" s="154"/>
      <c r="E45" s="15"/>
      <c r="F45" s="15"/>
      <c r="G45" s="152" t="s">
        <v>49</v>
      </c>
      <c r="H45" s="152"/>
      <c r="I45" s="152"/>
      <c r="J45" s="122"/>
      <c r="K45" s="118"/>
      <c r="L45" s="154" t="s">
        <v>46</v>
      </c>
      <c r="M45" s="154"/>
      <c r="N45" s="154"/>
      <c r="O45" s="15"/>
      <c r="P45" s="15"/>
      <c r="Q45" s="152" t="s">
        <v>49</v>
      </c>
      <c r="R45" s="152"/>
      <c r="S45" s="152"/>
      <c r="T45" s="122"/>
    </row>
    <row r="46" spans="1:20" x14ac:dyDescent="0.25">
      <c r="A46" s="156" t="s">
        <v>54</v>
      </c>
      <c r="B46" s="157"/>
      <c r="C46" s="157"/>
      <c r="D46" s="157"/>
      <c r="E46" s="15"/>
      <c r="F46" s="15"/>
      <c r="G46" s="158" t="s">
        <v>55</v>
      </c>
      <c r="H46" s="158"/>
      <c r="I46" s="158"/>
      <c r="J46" s="159"/>
      <c r="K46" s="156" t="s">
        <v>54</v>
      </c>
      <c r="L46" s="157"/>
      <c r="M46" s="157"/>
      <c r="N46" s="157"/>
      <c r="O46" s="15"/>
      <c r="P46" s="15"/>
      <c r="Q46" s="158" t="s">
        <v>55</v>
      </c>
      <c r="R46" s="158"/>
      <c r="S46" s="158"/>
      <c r="T46" s="159"/>
    </row>
    <row r="47" spans="1:20" x14ac:dyDescent="0.25">
      <c r="A47" s="16"/>
      <c r="B47" s="15"/>
      <c r="C47" s="15"/>
      <c r="D47" s="15"/>
      <c r="E47" s="15"/>
      <c r="F47" s="15"/>
      <c r="G47" s="15"/>
      <c r="H47" s="15"/>
      <c r="I47" s="15"/>
      <c r="J47" s="18"/>
      <c r="K47" s="16"/>
      <c r="L47" s="15"/>
      <c r="M47" s="15"/>
      <c r="N47" s="15"/>
      <c r="O47" s="15"/>
      <c r="P47" s="15"/>
      <c r="Q47" s="15"/>
      <c r="R47" s="15"/>
      <c r="S47" s="15"/>
      <c r="T47" s="18"/>
    </row>
    <row r="48" spans="1:20" x14ac:dyDescent="0.25">
      <c r="A48" s="16"/>
      <c r="B48" s="15"/>
      <c r="C48" s="15"/>
      <c r="D48" s="15"/>
      <c r="E48" s="15"/>
      <c r="F48" s="15"/>
      <c r="G48" s="15"/>
      <c r="H48" s="15"/>
      <c r="I48" s="15"/>
      <c r="J48" s="18"/>
      <c r="K48" s="16"/>
      <c r="L48" s="15"/>
      <c r="M48" s="15"/>
      <c r="N48" s="15"/>
      <c r="O48" s="15"/>
      <c r="P48" s="15"/>
      <c r="Q48" s="15"/>
      <c r="R48" s="15"/>
      <c r="S48" s="15"/>
      <c r="T48" s="18"/>
    </row>
    <row r="49" spans="1:20" x14ac:dyDescent="0.25">
      <c r="A49" s="16"/>
      <c r="B49" s="15"/>
      <c r="C49" s="15"/>
      <c r="D49" s="15"/>
      <c r="E49" s="15"/>
      <c r="F49" s="15"/>
      <c r="G49" s="15"/>
      <c r="H49" s="15"/>
      <c r="I49" s="15"/>
      <c r="J49" s="18"/>
      <c r="K49" s="16"/>
      <c r="L49" s="15"/>
      <c r="M49" s="15"/>
      <c r="N49" s="15"/>
      <c r="O49" s="15"/>
      <c r="P49" s="15"/>
      <c r="Q49" s="15"/>
      <c r="R49" s="15"/>
      <c r="S49" s="15"/>
      <c r="T49" s="18"/>
    </row>
    <row r="50" spans="1:20" x14ac:dyDescent="0.25">
      <c r="A50" s="16"/>
      <c r="B50" s="15"/>
      <c r="C50" s="15"/>
      <c r="D50" s="15"/>
      <c r="E50" s="15"/>
      <c r="F50" s="15"/>
      <c r="G50" s="15"/>
      <c r="H50" s="15"/>
      <c r="I50" s="15"/>
      <c r="J50" s="18"/>
      <c r="K50" s="16"/>
      <c r="L50" s="15"/>
      <c r="M50" s="15"/>
      <c r="N50" s="15"/>
      <c r="O50" s="15"/>
      <c r="P50" s="15"/>
      <c r="Q50" s="15"/>
      <c r="R50" s="15"/>
      <c r="S50" s="15"/>
      <c r="T50" s="18"/>
    </row>
    <row r="51" spans="1:20" x14ac:dyDescent="0.25">
      <c r="A51" s="16"/>
      <c r="B51" s="15"/>
      <c r="C51" s="15"/>
      <c r="D51" s="15"/>
      <c r="E51" s="15"/>
      <c r="F51" s="15"/>
      <c r="G51" s="15"/>
      <c r="H51" s="15"/>
      <c r="I51" s="15"/>
      <c r="J51" s="18"/>
      <c r="K51" s="16"/>
      <c r="L51" s="15"/>
      <c r="M51" s="15"/>
      <c r="N51" s="15"/>
      <c r="O51" s="15"/>
      <c r="P51" s="15"/>
      <c r="Q51" s="15"/>
      <c r="R51" s="15"/>
      <c r="S51" s="15"/>
      <c r="T51" s="18"/>
    </row>
    <row r="52" spans="1:20" x14ac:dyDescent="0.25">
      <c r="A52" s="16"/>
      <c r="B52" s="15"/>
      <c r="C52" s="15"/>
      <c r="D52" s="15"/>
      <c r="E52" s="15"/>
      <c r="F52" s="15"/>
      <c r="G52" s="15"/>
      <c r="H52" s="15"/>
      <c r="I52" s="15"/>
      <c r="J52" s="18"/>
      <c r="K52" s="16"/>
      <c r="L52" s="15"/>
      <c r="M52" s="15"/>
      <c r="N52" s="15"/>
      <c r="O52" s="15"/>
      <c r="P52" s="15"/>
      <c r="Q52" s="15"/>
      <c r="R52" s="15"/>
      <c r="S52" s="15"/>
      <c r="T52" s="18"/>
    </row>
    <row r="53" spans="1:20" x14ac:dyDescent="0.25">
      <c r="A53" s="16"/>
      <c r="B53" s="15"/>
      <c r="C53" s="15"/>
      <c r="D53" s="15"/>
      <c r="E53" s="15"/>
      <c r="F53" s="15"/>
      <c r="G53" s="15"/>
      <c r="H53" s="15"/>
      <c r="I53" s="15"/>
      <c r="J53" s="18"/>
      <c r="K53" s="16"/>
      <c r="L53" s="15"/>
      <c r="M53" s="15"/>
      <c r="N53" s="15"/>
      <c r="O53" s="15"/>
      <c r="P53" s="15"/>
      <c r="Q53" s="15"/>
      <c r="R53" s="15"/>
      <c r="S53" s="15"/>
      <c r="T53" s="18"/>
    </row>
    <row r="54" spans="1:20" x14ac:dyDescent="0.25">
      <c r="A54" s="16"/>
      <c r="B54" s="15"/>
      <c r="C54" s="15"/>
      <c r="D54" s="15"/>
      <c r="E54" s="15"/>
      <c r="F54" s="15"/>
      <c r="G54" s="15"/>
      <c r="H54" s="15"/>
      <c r="I54" s="15"/>
      <c r="J54" s="18"/>
    </row>
    <row r="55" spans="1:20" x14ac:dyDescent="0.25">
      <c r="A55" s="16"/>
      <c r="B55" s="15"/>
      <c r="C55" s="15"/>
      <c r="D55" s="15"/>
      <c r="E55" s="15"/>
      <c r="F55" s="15"/>
      <c r="G55" s="15"/>
      <c r="H55" s="15"/>
      <c r="I55" s="15"/>
      <c r="J55" s="18"/>
    </row>
    <row r="56" spans="1:20" x14ac:dyDescent="0.25">
      <c r="A56" s="16"/>
      <c r="B56" s="15"/>
      <c r="C56" s="15"/>
      <c r="D56" s="15"/>
      <c r="E56" s="15"/>
      <c r="F56" s="15"/>
      <c r="G56" s="15"/>
      <c r="H56" s="15"/>
      <c r="I56" s="15"/>
      <c r="J56" s="18"/>
    </row>
  </sheetData>
  <sheetProtection algorithmName="SHA-512" hashValue="eKHwmQD4LaJq7+4nNPjr05nBQhC2pmwBG7iAV/b5h9MUgHAYzPkGQxKQoQv4pQwJBRWByF5eEDEw6OzUFU9G7A==" saltValue="csTq8Luizu5P1mnmKWlOxg==" spinCount="100000" sheet="1" objects="1" scenarios="1" selectLockedCells="1"/>
  <mergeCells count="50">
    <mergeCell ref="K46:N46"/>
    <mergeCell ref="Q46:T46"/>
    <mergeCell ref="K35:N35"/>
    <mergeCell ref="Q35:T35"/>
    <mergeCell ref="K37:K38"/>
    <mergeCell ref="T37:T38"/>
    <mergeCell ref="L45:N45"/>
    <mergeCell ref="Q45:S45"/>
    <mergeCell ref="L24:O24"/>
    <mergeCell ref="P24:S24"/>
    <mergeCell ref="K26:K27"/>
    <mergeCell ref="T26:T27"/>
    <mergeCell ref="L34:N34"/>
    <mergeCell ref="Q34:S34"/>
    <mergeCell ref="L12:O12"/>
    <mergeCell ref="P12:S12"/>
    <mergeCell ref="K14:K15"/>
    <mergeCell ref="T14:T15"/>
    <mergeCell ref="L23:O23"/>
    <mergeCell ref="P23:S23"/>
    <mergeCell ref="P1:T1"/>
    <mergeCell ref="K2:K3"/>
    <mergeCell ref="T2:T3"/>
    <mergeCell ref="L11:O11"/>
    <mergeCell ref="P11:S11"/>
    <mergeCell ref="A46:D46"/>
    <mergeCell ref="G46:J46"/>
    <mergeCell ref="B45:D45"/>
    <mergeCell ref="G45:I45"/>
    <mergeCell ref="A14:A15"/>
    <mergeCell ref="J14:J15"/>
    <mergeCell ref="J26:J27"/>
    <mergeCell ref="A26:A27"/>
    <mergeCell ref="A37:A38"/>
    <mergeCell ref="A35:D35"/>
    <mergeCell ref="G35:J35"/>
    <mergeCell ref="G34:I34"/>
    <mergeCell ref="B34:D34"/>
    <mergeCell ref="F1:J1"/>
    <mergeCell ref="J37:J38"/>
    <mergeCell ref="J2:J3"/>
    <mergeCell ref="A2:A3"/>
    <mergeCell ref="F23:I23"/>
    <mergeCell ref="F24:I24"/>
    <mergeCell ref="B23:E23"/>
    <mergeCell ref="B24:E24"/>
    <mergeCell ref="B11:E11"/>
    <mergeCell ref="F11:I11"/>
    <mergeCell ref="B12:E12"/>
    <mergeCell ref="F12:I12"/>
  </mergeCells>
  <hyperlinks>
    <hyperlink ref="A2:A3" location="'Order Form'!E15" display="'Order Form'!E15" xr:uid="{00000000-0004-0000-0200-000000000000}"/>
    <hyperlink ref="J2:J3" location="'Order Form'!E15" display="'Order Form'!E15" xr:uid="{00000000-0004-0000-0200-000001000000}"/>
    <hyperlink ref="A14:A15" location="'Order Form'!E15" display="'Order Form'!E15" xr:uid="{00000000-0004-0000-0200-000002000000}"/>
    <hyperlink ref="J14:J15" location="'Order Form'!E15" display="'Order Form'!E15" xr:uid="{00000000-0004-0000-0200-000003000000}"/>
    <hyperlink ref="A26:A27" location="'Order Form'!E15" display="'Order Form'!E15" xr:uid="{00000000-0004-0000-0200-000004000000}"/>
    <hyperlink ref="J26:J27" location="'Order Form'!E15" display="'Order Form'!E15" xr:uid="{00000000-0004-0000-0200-000005000000}"/>
    <hyperlink ref="A37:A38" location="'Order Form'!E15" display="'Order Form'!E15" xr:uid="{00000000-0004-0000-0200-000006000000}"/>
    <hyperlink ref="J37:J38" location="'Order Form'!E15" display="'Order Form'!E15" xr:uid="{00000000-0004-0000-0200-000007000000}"/>
    <hyperlink ref="K2:K3" location="'Order Form'!E15" display="'Order Form'!E15" xr:uid="{8E9EE926-166E-410C-ACD9-BA181B18576A}"/>
    <hyperlink ref="T2:T3" location="'Order Form'!E15" display="'Order Form'!E15" xr:uid="{FD48097B-FD4E-49CC-B8FE-95EE078E87DA}"/>
    <hyperlink ref="K14:K15" location="'Order Form'!E15" display="'Order Form'!E15" xr:uid="{02E73F79-E560-4FA5-87FD-15D7A28A5A2E}"/>
    <hyperlink ref="T14:T15" location="'Order Form'!E15" display="'Order Form'!E15" xr:uid="{7ADCA84A-02DE-4E61-93AD-B79BD48E76D0}"/>
    <hyperlink ref="K26:K27" location="'Order Form'!E15" display="'Order Form'!E15" xr:uid="{70AD21E0-88AB-4A0E-93E1-B0EF8A9B5613}"/>
    <hyperlink ref="T26:T27" location="'Order Form'!E15" display="'Order Form'!E15" xr:uid="{7F880A95-662E-4B49-8138-EC5B24D2E609}"/>
    <hyperlink ref="K37:K38" location="'Order Form'!E15" display="'Order Form'!E15" xr:uid="{8476DAE8-16C2-4C1F-9E88-8EA8244A3F6E}"/>
    <hyperlink ref="T37:T38" location="'Order Form'!E15" display="'Order Form'!E15" xr:uid="{D48855E0-D357-4480-BF72-05C078D16EE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fitToWidth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J56"/>
  <sheetViews>
    <sheetView showGridLines="0" showRowColHeaders="0" workbookViewId="0">
      <selection activeCell="I2" sqref="I2:J2"/>
    </sheetView>
  </sheetViews>
  <sheetFormatPr defaultRowHeight="26.25" x14ac:dyDescent="0.4"/>
  <cols>
    <col min="1" max="1" width="9.140625" style="57"/>
    <col min="2" max="10" width="9.140625" style="14"/>
  </cols>
  <sheetData>
    <row r="1" spans="1:10" ht="61.5" customHeight="1" x14ac:dyDescent="0.4">
      <c r="F1" s="147" t="s">
        <v>56</v>
      </c>
      <c r="G1" s="147"/>
      <c r="H1" s="147"/>
      <c r="I1" s="147"/>
      <c r="J1" s="147"/>
    </row>
    <row r="2" spans="1:10" ht="24.95" customHeight="1" x14ac:dyDescent="0.4">
      <c r="I2" s="170" t="s">
        <v>133</v>
      </c>
      <c r="J2" s="170"/>
    </row>
    <row r="3" spans="1:10" s="25" customFormat="1" ht="12.75" customHeight="1" x14ac:dyDescent="0.25">
      <c r="A3" s="168" t="s">
        <v>80</v>
      </c>
      <c r="D3" s="58" t="s">
        <v>149</v>
      </c>
      <c r="E3" s="58"/>
      <c r="F3" s="58"/>
      <c r="G3" s="58"/>
      <c r="H3" s="59"/>
      <c r="I3" s="60"/>
      <c r="J3" s="60"/>
    </row>
    <row r="4" spans="1:10" s="25" customFormat="1" ht="12.75" customHeight="1" x14ac:dyDescent="0.25">
      <c r="A4" s="168"/>
      <c r="B4" s="36"/>
      <c r="C4" s="36"/>
      <c r="D4" s="61" t="s">
        <v>57</v>
      </c>
      <c r="E4" s="62"/>
      <c r="F4" s="63"/>
      <c r="G4" s="64"/>
      <c r="H4" s="65"/>
    </row>
    <row r="5" spans="1:10" s="24" customFormat="1" ht="12.75" customHeight="1" x14ac:dyDescent="0.2">
      <c r="A5" s="66"/>
      <c r="B5" s="11"/>
      <c r="C5" s="11"/>
      <c r="D5" s="67" t="s">
        <v>58</v>
      </c>
      <c r="E5" s="62"/>
      <c r="F5" s="63"/>
      <c r="G5" s="64"/>
    </row>
    <row r="6" spans="1:10" s="24" customFormat="1" ht="12.75" customHeight="1" x14ac:dyDescent="0.2">
      <c r="A6" s="66"/>
      <c r="B6" s="11"/>
      <c r="D6" s="61" t="s">
        <v>59</v>
      </c>
      <c r="E6" s="62"/>
      <c r="F6" s="63"/>
      <c r="G6" s="64"/>
      <c r="H6" s="68"/>
    </row>
    <row r="7" spans="1:10" s="24" customFormat="1" ht="12.75" customHeight="1" x14ac:dyDescent="0.2">
      <c r="A7" s="69"/>
      <c r="B7" s="11"/>
      <c r="D7" s="13"/>
      <c r="E7" s="62"/>
      <c r="F7" s="63"/>
      <c r="G7" s="64"/>
      <c r="H7" s="68"/>
    </row>
    <row r="8" spans="1:10" s="24" customFormat="1" ht="12.75" customHeight="1" x14ac:dyDescent="0.2">
      <c r="A8" s="69"/>
      <c r="B8" s="11"/>
      <c r="D8" s="13"/>
      <c r="E8" s="62"/>
      <c r="F8" s="63"/>
      <c r="G8" s="64"/>
      <c r="H8" s="68"/>
    </row>
    <row r="9" spans="1:10" s="24" customFormat="1" ht="12.75" customHeight="1" x14ac:dyDescent="0.2">
      <c r="A9" s="169" t="s">
        <v>81</v>
      </c>
      <c r="B9" s="11"/>
      <c r="D9" s="58" t="s">
        <v>148</v>
      </c>
      <c r="E9" s="58"/>
      <c r="F9" s="58"/>
      <c r="G9" s="64"/>
      <c r="H9" s="68"/>
    </row>
    <row r="10" spans="1:10" s="24" customFormat="1" ht="12.75" customHeight="1" x14ac:dyDescent="0.2">
      <c r="A10" s="169"/>
      <c r="B10" s="11"/>
      <c r="D10" s="61" t="s">
        <v>57</v>
      </c>
      <c r="E10" s="62"/>
      <c r="F10" s="63"/>
      <c r="G10" s="64"/>
      <c r="H10" s="68"/>
    </row>
    <row r="11" spans="1:10" s="24" customFormat="1" ht="12.75" customHeight="1" x14ac:dyDescent="0.2">
      <c r="A11" s="66"/>
      <c r="B11" s="11"/>
      <c r="D11" s="67" t="s">
        <v>60</v>
      </c>
      <c r="E11" s="62"/>
      <c r="F11" s="63"/>
      <c r="G11" s="64"/>
      <c r="H11" s="68"/>
    </row>
    <row r="12" spans="1:10" s="24" customFormat="1" ht="12.75" customHeight="1" x14ac:dyDescent="0.2">
      <c r="A12" s="66"/>
      <c r="B12" s="11"/>
      <c r="D12" s="61" t="s">
        <v>59</v>
      </c>
      <c r="E12" s="62"/>
      <c r="F12" s="63"/>
      <c r="G12" s="64"/>
      <c r="H12" s="68"/>
    </row>
    <row r="13" spans="1:10" s="24" customFormat="1" ht="12.75" customHeight="1" x14ac:dyDescent="0.2">
      <c r="A13" s="69"/>
      <c r="B13" s="11"/>
      <c r="D13" s="13"/>
      <c r="E13" s="62"/>
      <c r="F13" s="63"/>
      <c r="G13" s="64"/>
      <c r="H13" s="68"/>
    </row>
    <row r="14" spans="1:10" s="24" customFormat="1" ht="12.75" customHeight="1" x14ac:dyDescent="0.2">
      <c r="A14" s="69"/>
      <c r="B14" s="11"/>
      <c r="D14" s="13"/>
      <c r="E14" s="62"/>
      <c r="F14" s="63"/>
      <c r="G14" s="64"/>
      <c r="H14" s="68"/>
    </row>
    <row r="15" spans="1:10" s="24" customFormat="1" ht="12.75" customHeight="1" x14ac:dyDescent="0.2">
      <c r="A15" s="169" t="s">
        <v>82</v>
      </c>
      <c r="B15" s="11"/>
      <c r="D15" s="58" t="s">
        <v>150</v>
      </c>
      <c r="E15" s="58"/>
      <c r="F15" s="63"/>
      <c r="G15" s="64"/>
      <c r="H15" s="68"/>
    </row>
    <row r="16" spans="1:10" s="24" customFormat="1" ht="12.75" customHeight="1" x14ac:dyDescent="0.2">
      <c r="A16" s="169"/>
      <c r="B16" s="11"/>
      <c r="D16" s="61" t="s">
        <v>61</v>
      </c>
      <c r="E16" s="62"/>
      <c r="F16" s="63"/>
      <c r="G16" s="64"/>
      <c r="H16" s="68"/>
    </row>
    <row r="17" spans="1:9" s="24" customFormat="1" ht="12.75" customHeight="1" x14ac:dyDescent="0.25">
      <c r="A17" s="66"/>
      <c r="B17" s="70"/>
      <c r="D17" s="67" t="s">
        <v>62</v>
      </c>
      <c r="E17" s="62"/>
      <c r="F17" s="63"/>
      <c r="G17" s="64"/>
      <c r="H17" s="68"/>
    </row>
    <row r="18" spans="1:9" s="24" customFormat="1" ht="12.75" customHeight="1" x14ac:dyDescent="0.25">
      <c r="A18" s="66"/>
      <c r="B18" s="70"/>
      <c r="D18" s="61" t="s">
        <v>63</v>
      </c>
      <c r="E18" s="62"/>
      <c r="F18" s="71"/>
      <c r="G18" s="64"/>
      <c r="H18" s="68"/>
    </row>
    <row r="19" spans="1:9" s="24" customFormat="1" ht="12.75" customHeight="1" x14ac:dyDescent="0.25">
      <c r="A19" s="69"/>
      <c r="B19" s="70"/>
      <c r="D19" s="13"/>
      <c r="E19" s="61"/>
      <c r="F19" s="72"/>
      <c r="G19" s="73"/>
      <c r="H19" s="68"/>
    </row>
    <row r="20" spans="1:9" s="24" customFormat="1" ht="12.75" customHeight="1" x14ac:dyDescent="0.25">
      <c r="A20" s="69"/>
      <c r="B20" s="70"/>
      <c r="D20" s="13"/>
      <c r="E20" s="62"/>
      <c r="F20" s="63"/>
      <c r="G20" s="64"/>
      <c r="H20" s="68"/>
    </row>
    <row r="21" spans="1:9" s="24" customFormat="1" ht="12.75" customHeight="1" x14ac:dyDescent="0.25">
      <c r="A21" s="169" t="s">
        <v>83</v>
      </c>
      <c r="B21" s="70"/>
      <c r="D21" s="58" t="s">
        <v>147</v>
      </c>
      <c r="E21" s="58"/>
      <c r="F21" s="63"/>
      <c r="G21" s="64"/>
      <c r="H21" s="68"/>
    </row>
    <row r="22" spans="1:9" s="24" customFormat="1" ht="12.75" customHeight="1" x14ac:dyDescent="0.2">
      <c r="A22" s="169"/>
      <c r="B22" s="74"/>
      <c r="D22" s="61" t="s">
        <v>64</v>
      </c>
      <c r="E22" s="62"/>
      <c r="F22" s="63"/>
      <c r="G22" s="64"/>
      <c r="I22" s="73"/>
    </row>
    <row r="23" spans="1:9" s="24" customFormat="1" ht="12.75" customHeight="1" x14ac:dyDescent="0.25">
      <c r="A23" s="66"/>
      <c r="B23" s="70"/>
      <c r="D23" s="67" t="s">
        <v>65</v>
      </c>
      <c r="E23" s="62"/>
      <c r="F23" s="63"/>
      <c r="G23" s="64"/>
      <c r="H23" s="68"/>
    </row>
    <row r="24" spans="1:9" s="24" customFormat="1" ht="12.75" customHeight="1" x14ac:dyDescent="0.25">
      <c r="A24" s="66"/>
      <c r="B24" s="70"/>
      <c r="D24" s="67" t="s">
        <v>66</v>
      </c>
      <c r="E24" s="67"/>
      <c r="F24" s="67"/>
      <c r="G24" s="67"/>
      <c r="H24" s="68"/>
    </row>
    <row r="25" spans="1:9" s="24" customFormat="1" ht="12.75" customHeight="1" x14ac:dyDescent="0.25">
      <c r="A25" s="69"/>
      <c r="B25" s="70"/>
      <c r="D25" s="67" t="s">
        <v>59</v>
      </c>
      <c r="E25" s="62"/>
      <c r="F25" s="71"/>
      <c r="G25" s="64"/>
      <c r="H25" s="68"/>
    </row>
    <row r="26" spans="1:9" s="24" customFormat="1" ht="12.75" customHeight="1" x14ac:dyDescent="0.25">
      <c r="A26" s="69"/>
      <c r="B26" s="70"/>
      <c r="D26" s="13"/>
      <c r="E26" s="61"/>
      <c r="F26" s="72"/>
      <c r="G26" s="73"/>
      <c r="H26" s="68"/>
    </row>
    <row r="27" spans="1:9" s="24" customFormat="1" ht="12.75" customHeight="1" x14ac:dyDescent="0.25">
      <c r="A27" s="66"/>
      <c r="B27" s="70"/>
      <c r="D27" s="13"/>
      <c r="E27" s="62"/>
      <c r="F27" s="63"/>
      <c r="G27" s="64"/>
      <c r="H27" s="68"/>
    </row>
    <row r="28" spans="1:9" s="24" customFormat="1" ht="12.75" customHeight="1" x14ac:dyDescent="0.25">
      <c r="A28" s="169" t="s">
        <v>84</v>
      </c>
      <c r="B28" s="70"/>
      <c r="D28" s="58" t="s">
        <v>67</v>
      </c>
      <c r="E28" s="58"/>
      <c r="F28" s="63"/>
      <c r="G28" s="64"/>
      <c r="H28" s="68"/>
    </row>
    <row r="29" spans="1:9" s="24" customFormat="1" ht="12.75" customHeight="1" x14ac:dyDescent="0.2">
      <c r="A29" s="169"/>
      <c r="B29" s="74"/>
      <c r="D29" s="24" t="s">
        <v>68</v>
      </c>
      <c r="E29" s="62"/>
      <c r="F29" s="71"/>
      <c r="G29" s="64"/>
      <c r="I29" s="73"/>
    </row>
    <row r="30" spans="1:9" s="24" customFormat="1" ht="12.75" customHeight="1" x14ac:dyDescent="0.25">
      <c r="A30" s="66"/>
      <c r="B30" s="70"/>
      <c r="D30" s="67" t="s">
        <v>69</v>
      </c>
      <c r="E30" s="61"/>
      <c r="F30" s="72"/>
      <c r="G30" s="73"/>
      <c r="H30" s="68"/>
    </row>
    <row r="31" spans="1:9" s="24" customFormat="1" ht="12.75" customHeight="1" x14ac:dyDescent="0.25">
      <c r="A31" s="66"/>
      <c r="B31" s="70"/>
      <c r="D31" s="61" t="s">
        <v>70</v>
      </c>
      <c r="E31" s="61"/>
      <c r="F31" s="72"/>
      <c r="G31" s="73"/>
      <c r="H31" s="68"/>
    </row>
    <row r="32" spans="1:9" s="24" customFormat="1" ht="12.75" customHeight="1" x14ac:dyDescent="0.25">
      <c r="A32" s="69"/>
      <c r="B32" s="70"/>
      <c r="D32" s="13"/>
      <c r="E32" s="61"/>
      <c r="F32" s="72"/>
      <c r="G32" s="73"/>
      <c r="H32" s="68"/>
    </row>
    <row r="33" spans="1:10" s="24" customFormat="1" ht="12.75" customHeight="1" x14ac:dyDescent="0.2">
      <c r="A33" s="69"/>
      <c r="B33" s="74"/>
      <c r="D33" s="11"/>
      <c r="I33" s="73"/>
    </row>
    <row r="34" spans="1:10" s="24" customFormat="1" ht="12.75" customHeight="1" x14ac:dyDescent="0.25">
      <c r="A34" s="165" t="s">
        <v>85</v>
      </c>
      <c r="B34" s="74"/>
      <c r="D34" s="58" t="s">
        <v>78</v>
      </c>
      <c r="E34" s="58"/>
      <c r="F34" s="58"/>
      <c r="G34" s="58"/>
      <c r="H34" s="59"/>
      <c r="I34" s="60"/>
      <c r="J34" s="60"/>
    </row>
    <row r="35" spans="1:10" s="24" customFormat="1" ht="12.75" customHeight="1" x14ac:dyDescent="0.2">
      <c r="A35" s="165"/>
      <c r="B35" s="75"/>
      <c r="D35" s="61" t="s">
        <v>71</v>
      </c>
      <c r="E35" s="62"/>
      <c r="F35" s="63"/>
      <c r="G35" s="64"/>
    </row>
    <row r="36" spans="1:10" s="24" customFormat="1" ht="12.75" customHeight="1" x14ac:dyDescent="0.2">
      <c r="A36" s="76"/>
      <c r="B36" s="11"/>
      <c r="D36" s="67" t="s">
        <v>72</v>
      </c>
      <c r="E36" s="62"/>
      <c r="F36" s="63"/>
      <c r="G36" s="64"/>
    </row>
    <row r="37" spans="1:10" s="24" customFormat="1" ht="12.75" customHeight="1" x14ac:dyDescent="0.2">
      <c r="A37" s="76"/>
      <c r="B37" s="11"/>
      <c r="D37" s="77"/>
      <c r="E37" s="62"/>
      <c r="F37" s="61" t="s">
        <v>73</v>
      </c>
      <c r="G37" s="64"/>
      <c r="H37" s="68"/>
    </row>
    <row r="38" spans="1:10" s="24" customFormat="1" ht="12.75" customHeight="1" x14ac:dyDescent="0.2">
      <c r="A38" s="78"/>
      <c r="B38" s="11"/>
      <c r="D38" s="13"/>
      <c r="E38" s="62"/>
      <c r="F38" s="63"/>
      <c r="G38" s="64"/>
      <c r="H38" s="68"/>
    </row>
    <row r="39" spans="1:10" s="24" customFormat="1" ht="12.75" customHeight="1" x14ac:dyDescent="0.2">
      <c r="A39" s="78"/>
      <c r="B39" s="11"/>
      <c r="D39" s="11"/>
      <c r="H39" s="68"/>
    </row>
    <row r="40" spans="1:10" s="24" customFormat="1" ht="12.75" customHeight="1" x14ac:dyDescent="0.25">
      <c r="A40" s="166" t="s">
        <v>86</v>
      </c>
      <c r="B40" s="11"/>
      <c r="D40" s="58" t="s">
        <v>79</v>
      </c>
      <c r="E40" s="58"/>
      <c r="F40" s="58"/>
      <c r="G40" s="58"/>
      <c r="H40" s="59"/>
      <c r="I40" s="60"/>
      <c r="J40" s="60"/>
    </row>
    <row r="41" spans="1:10" s="24" customFormat="1" ht="12.75" customHeight="1" x14ac:dyDescent="0.2">
      <c r="A41" s="166"/>
      <c r="B41" s="11"/>
      <c r="D41" s="61" t="s">
        <v>74</v>
      </c>
      <c r="E41" s="62"/>
      <c r="F41" s="63"/>
      <c r="G41" s="64"/>
      <c r="H41" s="68"/>
    </row>
    <row r="42" spans="1:10" s="24" customFormat="1" ht="12.75" customHeight="1" x14ac:dyDescent="0.2">
      <c r="A42" s="66"/>
      <c r="B42" s="11"/>
      <c r="D42" s="67" t="s">
        <v>75</v>
      </c>
      <c r="E42" s="62"/>
      <c r="F42" s="63"/>
      <c r="G42" s="64"/>
    </row>
    <row r="43" spans="1:10" s="24" customFormat="1" ht="12.75" customHeight="1" x14ac:dyDescent="0.2">
      <c r="A43" s="66"/>
      <c r="B43" s="11"/>
      <c r="D43" s="61"/>
      <c r="E43" s="62"/>
      <c r="F43" s="61" t="s">
        <v>76</v>
      </c>
      <c r="G43" s="64"/>
      <c r="H43" s="68"/>
    </row>
    <row r="44" spans="1:10" s="24" customFormat="1" ht="12.75" customHeight="1" x14ac:dyDescent="0.2">
      <c r="A44" s="69"/>
      <c r="B44" s="11"/>
      <c r="H44" s="68"/>
    </row>
    <row r="45" spans="1:10" s="24" customFormat="1" ht="12.75" customHeight="1" x14ac:dyDescent="0.2">
      <c r="A45" s="69"/>
      <c r="B45" s="11"/>
      <c r="H45" s="68"/>
    </row>
    <row r="46" spans="1:10" s="24" customFormat="1" ht="12.75" customHeight="1" x14ac:dyDescent="0.2">
      <c r="A46" s="167" t="s">
        <v>87</v>
      </c>
      <c r="B46" s="11"/>
      <c r="F46" s="11" t="s">
        <v>77</v>
      </c>
      <c r="H46" s="68"/>
    </row>
    <row r="47" spans="1:10" s="24" customFormat="1" ht="12.75" customHeight="1" x14ac:dyDescent="0.2">
      <c r="A47" s="167"/>
      <c r="B47" s="11"/>
      <c r="C47" s="13"/>
      <c r="D47" s="62"/>
      <c r="E47" s="63"/>
      <c r="F47" s="11" t="s">
        <v>88</v>
      </c>
      <c r="H47" s="68"/>
    </row>
    <row r="48" spans="1:10" s="24" customFormat="1" ht="12.75" customHeight="1" x14ac:dyDescent="0.2">
      <c r="A48" s="66"/>
      <c r="B48" s="11"/>
      <c r="C48" s="11"/>
    </row>
    <row r="49" spans="1:8" s="24" customFormat="1" ht="12.75" customHeight="1" x14ac:dyDescent="0.2">
      <c r="A49" s="66"/>
      <c r="B49" s="11"/>
      <c r="D49" s="79"/>
      <c r="E49" s="79"/>
      <c r="F49" s="79"/>
      <c r="H49" s="68"/>
    </row>
    <row r="50" spans="1:8" s="24" customFormat="1" ht="12.75" customHeight="1" x14ac:dyDescent="0.2">
      <c r="A50" s="69"/>
      <c r="B50" s="11"/>
      <c r="D50" s="62"/>
      <c r="E50" s="63"/>
      <c r="F50" s="64"/>
      <c r="H50" s="68"/>
    </row>
    <row r="51" spans="1:8" s="24" customFormat="1" ht="12.75" customHeight="1" x14ac:dyDescent="0.2">
      <c r="A51" s="66"/>
      <c r="B51" s="11"/>
      <c r="C51" s="13"/>
      <c r="D51" s="62"/>
      <c r="E51" s="63"/>
      <c r="F51" s="64"/>
      <c r="H51" s="68"/>
    </row>
    <row r="52" spans="1:8" ht="12.75" customHeight="1" x14ac:dyDescent="0.4"/>
    <row r="53" spans="1:8" ht="12.75" customHeight="1" x14ac:dyDescent="0.4"/>
    <row r="54" spans="1:8" ht="12.75" customHeight="1" x14ac:dyDescent="0.4"/>
    <row r="55" spans="1:8" ht="12.75" customHeight="1" x14ac:dyDescent="0.4"/>
    <row r="56" spans="1:8" ht="12.75" customHeight="1" x14ac:dyDescent="0.4"/>
  </sheetData>
  <sheetProtection algorithmName="SHA-512" hashValue="SRPrYcI9hI1nHlquP8bVibSTHBFEtfKWxDURnV8e/3InD5HWzFcXzpNr8Qohln9I7c+r/9c2HWrIcn1ziPfMdQ==" saltValue="UaCWMSuDH6M1Z/HfDYX7Sg==" spinCount="100000" sheet="1" objects="1" scenarios="1" selectLockedCells="1"/>
  <mergeCells count="10">
    <mergeCell ref="F1:J1"/>
    <mergeCell ref="A34:A35"/>
    <mergeCell ref="A40:A41"/>
    <mergeCell ref="A46:A47"/>
    <mergeCell ref="A3:A4"/>
    <mergeCell ref="A9:A10"/>
    <mergeCell ref="A15:A16"/>
    <mergeCell ref="A21:A22"/>
    <mergeCell ref="A28:A29"/>
    <mergeCell ref="I2:J2"/>
  </mergeCells>
  <hyperlinks>
    <hyperlink ref="I2:J2" location="'Order Form'!A1" display="Click to Go Back" xr:uid="{01BCB913-8C79-4548-B262-D032F778C1EA}"/>
  </hyperlinks>
  <pageMargins left="0.7" right="0.7" top="0.75" bottom="0.75" header="0.3" footer="0.3"/>
  <pageSetup paperSize="9" scale="95" fitToWidth="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1B5C9-89E8-455F-AE19-FD54E572BC9A}">
  <dimension ref="A1:AC35"/>
  <sheetViews>
    <sheetView showGridLines="0" zoomScaleNormal="100" workbookViewId="0">
      <selection activeCell="V23" sqref="V23"/>
    </sheetView>
  </sheetViews>
  <sheetFormatPr defaultRowHeight="15" x14ac:dyDescent="0.25"/>
  <cols>
    <col min="1" max="1" width="16.5703125" style="14" bestFit="1" customWidth="1"/>
    <col min="2" max="2" width="19.7109375" style="14" bestFit="1" customWidth="1"/>
    <col min="3" max="3" width="8.85546875" style="14" bestFit="1" customWidth="1"/>
    <col min="4" max="4" width="18.85546875" style="14" bestFit="1" customWidth="1"/>
    <col min="5" max="14" width="9.140625" style="14"/>
    <col min="20" max="20" width="12.5703125" bestFit="1" customWidth="1"/>
    <col min="21" max="21" width="19.7109375" bestFit="1" customWidth="1"/>
    <col min="22" max="22" width="9.28515625" bestFit="1" customWidth="1"/>
    <col min="23" max="23" width="18.85546875" bestFit="1" customWidth="1"/>
  </cols>
  <sheetData>
    <row r="1" spans="1:29" s="80" customFormat="1" ht="26.25" x14ac:dyDescent="0.4">
      <c r="B1" s="81"/>
      <c r="C1" s="81"/>
      <c r="D1" s="47" t="s">
        <v>136</v>
      </c>
      <c r="G1" s="81"/>
      <c r="H1" s="81"/>
      <c r="I1" s="81"/>
      <c r="J1" s="81"/>
      <c r="K1" s="81"/>
      <c r="L1" s="81"/>
      <c r="M1" s="81"/>
      <c r="N1" s="81"/>
      <c r="O1" s="47" t="s">
        <v>137</v>
      </c>
      <c r="Q1" s="175" t="s">
        <v>212</v>
      </c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</row>
    <row r="6" spans="1:29" x14ac:dyDescent="0.25">
      <c r="A6" s="83" t="s">
        <v>151</v>
      </c>
      <c r="B6" s="84"/>
      <c r="C6" s="84"/>
      <c r="D6" s="84"/>
      <c r="T6" s="83" t="s">
        <v>151</v>
      </c>
      <c r="U6" s="84"/>
      <c r="V6" s="84"/>
      <c r="W6" s="84"/>
    </row>
    <row r="7" spans="1:29" x14ac:dyDescent="0.25">
      <c r="A7" s="85" t="s">
        <v>152</v>
      </c>
      <c r="B7" s="86" t="s">
        <v>42</v>
      </c>
      <c r="C7" s="86" t="s">
        <v>171</v>
      </c>
      <c r="D7" s="87"/>
      <c r="T7" s="85" t="s">
        <v>152</v>
      </c>
      <c r="U7" s="86" t="s">
        <v>42</v>
      </c>
      <c r="V7" s="86" t="s">
        <v>171</v>
      </c>
      <c r="W7" s="87"/>
    </row>
    <row r="8" spans="1:29" x14ac:dyDescent="0.25">
      <c r="A8" s="88"/>
      <c r="B8" s="89" t="s">
        <v>43</v>
      </c>
      <c r="C8" s="89" t="s">
        <v>171</v>
      </c>
      <c r="D8" s="90"/>
      <c r="T8" s="88"/>
      <c r="U8" s="89" t="s">
        <v>43</v>
      </c>
      <c r="V8" s="89" t="s">
        <v>171</v>
      </c>
      <c r="W8" s="90"/>
    </row>
    <row r="9" spans="1:29" x14ac:dyDescent="0.25">
      <c r="A9" s="91"/>
      <c r="B9" s="92" t="s">
        <v>153</v>
      </c>
      <c r="C9" s="92" t="s">
        <v>172</v>
      </c>
      <c r="D9" s="93"/>
      <c r="T9" s="91"/>
      <c r="U9" s="92" t="s">
        <v>153</v>
      </c>
      <c r="V9" s="92" t="s">
        <v>172</v>
      </c>
      <c r="W9" s="93"/>
    </row>
    <row r="10" spans="1:29" x14ac:dyDescent="0.25">
      <c r="A10" s="94"/>
      <c r="B10" s="94"/>
      <c r="C10" s="94"/>
      <c r="D10" s="94"/>
      <c r="T10" s="94"/>
      <c r="U10" s="94"/>
      <c r="V10" s="94"/>
      <c r="W10" s="94"/>
    </row>
    <row r="11" spans="1:29" x14ac:dyDescent="0.25">
      <c r="A11" s="95" t="s">
        <v>154</v>
      </c>
      <c r="B11" s="96" t="s">
        <v>115</v>
      </c>
      <c r="C11" s="96" t="s">
        <v>173</v>
      </c>
      <c r="D11" s="97"/>
      <c r="T11" s="95" t="s">
        <v>154</v>
      </c>
      <c r="U11" s="96" t="s">
        <v>115</v>
      </c>
      <c r="V11" s="96" t="s">
        <v>214</v>
      </c>
      <c r="W11" s="97"/>
    </row>
    <row r="12" spans="1:29" x14ac:dyDescent="0.25">
      <c r="A12" s="88"/>
      <c r="B12" s="89" t="s">
        <v>155</v>
      </c>
      <c r="C12" s="89" t="s">
        <v>173</v>
      </c>
      <c r="D12" s="90"/>
      <c r="T12" s="88"/>
      <c r="U12" s="89" t="s">
        <v>155</v>
      </c>
      <c r="V12" s="89" t="s">
        <v>214</v>
      </c>
      <c r="W12" s="90"/>
    </row>
    <row r="13" spans="1:29" x14ac:dyDescent="0.25">
      <c r="A13" s="88"/>
      <c r="B13" s="89" t="s">
        <v>116</v>
      </c>
      <c r="C13" s="89" t="s">
        <v>174</v>
      </c>
      <c r="D13" s="90"/>
      <c r="T13" s="88"/>
      <c r="U13" s="89" t="s">
        <v>116</v>
      </c>
      <c r="V13" s="89" t="s">
        <v>215</v>
      </c>
      <c r="W13" s="90"/>
    </row>
    <row r="14" spans="1:29" x14ac:dyDescent="0.25">
      <c r="A14" s="88"/>
      <c r="B14" s="89" t="s">
        <v>156</v>
      </c>
      <c r="C14" s="89" t="s">
        <v>175</v>
      </c>
      <c r="D14" s="90"/>
      <c r="T14" s="88"/>
      <c r="U14" s="89" t="s">
        <v>156</v>
      </c>
      <c r="V14" s="89" t="s">
        <v>216</v>
      </c>
      <c r="W14" s="90"/>
    </row>
    <row r="15" spans="1:29" x14ac:dyDescent="0.25">
      <c r="A15" s="91"/>
      <c r="B15" s="92" t="s">
        <v>157</v>
      </c>
      <c r="C15" s="92" t="s">
        <v>176</v>
      </c>
      <c r="D15" s="93" t="s">
        <v>158</v>
      </c>
      <c r="T15" s="91"/>
      <c r="U15" s="92" t="s">
        <v>157</v>
      </c>
      <c r="V15" s="92" t="s">
        <v>217</v>
      </c>
      <c r="W15" s="93" t="s">
        <v>158</v>
      </c>
    </row>
    <row r="16" spans="1:29" x14ac:dyDescent="0.25">
      <c r="A16" s="94"/>
      <c r="B16" s="94"/>
      <c r="C16" s="94"/>
      <c r="D16" s="94"/>
      <c r="T16" s="94"/>
      <c r="U16" s="94"/>
      <c r="V16" s="94"/>
      <c r="W16" s="94"/>
    </row>
    <row r="17" spans="1:29" x14ac:dyDescent="0.25">
      <c r="A17" s="83" t="s">
        <v>159</v>
      </c>
      <c r="B17" s="84"/>
      <c r="C17" s="84"/>
      <c r="D17" s="84"/>
      <c r="T17" s="83" t="s">
        <v>159</v>
      </c>
      <c r="U17" s="84"/>
      <c r="V17" s="84"/>
      <c r="W17" s="84"/>
    </row>
    <row r="18" spans="1:29" x14ac:dyDescent="0.25">
      <c r="A18" s="98"/>
      <c r="B18" s="86"/>
      <c r="C18" s="99" t="s">
        <v>177</v>
      </c>
      <c r="D18" s="87"/>
      <c r="T18" s="98"/>
      <c r="U18" s="86"/>
      <c r="V18" s="99" t="s">
        <v>218</v>
      </c>
      <c r="W18" s="87"/>
    </row>
    <row r="19" spans="1:29" x14ac:dyDescent="0.25">
      <c r="A19" s="91"/>
      <c r="B19" s="92"/>
      <c r="C19" s="100" t="s">
        <v>178</v>
      </c>
      <c r="D19" s="93"/>
      <c r="T19" s="91"/>
      <c r="U19" s="92"/>
      <c r="V19" s="100" t="s">
        <v>219</v>
      </c>
      <c r="W19" s="93"/>
    </row>
    <row r="20" spans="1:29" x14ac:dyDescent="0.25">
      <c r="A20" s="94"/>
      <c r="B20" s="94"/>
      <c r="C20" s="101"/>
      <c r="D20" s="94"/>
      <c r="T20" s="94"/>
      <c r="U20" s="94"/>
      <c r="V20" s="101"/>
      <c r="W20" s="94"/>
    </row>
    <row r="21" spans="1:29" x14ac:dyDescent="0.25">
      <c r="A21" s="95" t="s">
        <v>160</v>
      </c>
      <c r="B21" s="96" t="s">
        <v>161</v>
      </c>
      <c r="C21" s="102" t="s">
        <v>179</v>
      </c>
      <c r="D21" s="97" t="s">
        <v>162</v>
      </c>
      <c r="T21" s="95" t="s">
        <v>220</v>
      </c>
      <c r="U21" s="96" t="s">
        <v>161</v>
      </c>
      <c r="V21" s="102" t="s">
        <v>221</v>
      </c>
      <c r="W21" s="97" t="s">
        <v>162</v>
      </c>
    </row>
    <row r="22" spans="1:29" x14ac:dyDescent="0.25">
      <c r="A22" s="88"/>
      <c r="B22" s="89" t="s">
        <v>163</v>
      </c>
      <c r="C22" s="103" t="s">
        <v>179</v>
      </c>
      <c r="D22" s="90" t="s">
        <v>164</v>
      </c>
      <c r="T22" s="88"/>
      <c r="U22" s="89" t="s">
        <v>163</v>
      </c>
      <c r="V22" s="103" t="s">
        <v>221</v>
      </c>
      <c r="W22" s="90" t="s">
        <v>164</v>
      </c>
    </row>
    <row r="23" spans="1:29" x14ac:dyDescent="0.25">
      <c r="A23" s="91"/>
      <c r="B23" s="92" t="s">
        <v>223</v>
      </c>
      <c r="C23" s="100" t="s">
        <v>180</v>
      </c>
      <c r="D23" s="93" t="s">
        <v>165</v>
      </c>
      <c r="T23" s="91"/>
      <c r="U23" s="92" t="s">
        <v>222</v>
      </c>
      <c r="V23" s="100" t="s">
        <v>224</v>
      </c>
      <c r="W23" s="93" t="s">
        <v>165</v>
      </c>
    </row>
    <row r="25" spans="1:29" ht="26.25" x14ac:dyDescent="0.4">
      <c r="B25" s="105"/>
      <c r="C25" s="105"/>
      <c r="D25" s="105"/>
      <c r="Q25" s="176" t="s">
        <v>213</v>
      </c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</row>
    <row r="26" spans="1:29" x14ac:dyDescent="0.25">
      <c r="A26" s="104" t="s">
        <v>166</v>
      </c>
      <c r="B26" s="82"/>
      <c r="C26" s="82"/>
      <c r="D26" s="82"/>
    </row>
    <row r="27" spans="1:29" x14ac:dyDescent="0.25">
      <c r="A27" s="106"/>
      <c r="B27" s="107" t="s">
        <v>167</v>
      </c>
      <c r="C27" s="107" t="s">
        <v>168</v>
      </c>
      <c r="D27" s="107" t="s">
        <v>169</v>
      </c>
    </row>
    <row r="28" spans="1:29" x14ac:dyDescent="0.25">
      <c r="A28" s="108"/>
      <c r="B28" s="109" t="s">
        <v>183</v>
      </c>
      <c r="C28" s="171">
        <v>6</v>
      </c>
      <c r="D28" s="109" t="s">
        <v>186</v>
      </c>
    </row>
    <row r="29" spans="1:29" x14ac:dyDescent="0.25">
      <c r="A29" s="110" t="s">
        <v>170</v>
      </c>
      <c r="B29" s="111" t="s">
        <v>184</v>
      </c>
      <c r="C29" s="172"/>
      <c r="D29" s="111" t="s">
        <v>186</v>
      </c>
    </row>
    <row r="30" spans="1:29" x14ac:dyDescent="0.25">
      <c r="A30" s="108"/>
      <c r="B30" s="109" t="s">
        <v>185</v>
      </c>
      <c r="C30" s="171">
        <v>8</v>
      </c>
      <c r="D30" s="109" t="s">
        <v>183</v>
      </c>
    </row>
    <row r="31" spans="1:29" x14ac:dyDescent="0.25">
      <c r="A31" s="110" t="s">
        <v>170</v>
      </c>
      <c r="B31" s="111" t="s">
        <v>184</v>
      </c>
      <c r="C31" s="172"/>
      <c r="D31" s="113" t="s">
        <v>183</v>
      </c>
    </row>
    <row r="32" spans="1:29" x14ac:dyDescent="0.25">
      <c r="A32" s="112"/>
      <c r="B32" s="113" t="s">
        <v>181</v>
      </c>
      <c r="C32" s="173">
        <v>10</v>
      </c>
      <c r="D32" s="109" t="s">
        <v>183</v>
      </c>
    </row>
    <row r="33" spans="1:4" x14ac:dyDescent="0.25">
      <c r="A33" s="114" t="s">
        <v>170</v>
      </c>
      <c r="B33" s="111" t="s">
        <v>182</v>
      </c>
      <c r="C33" s="174"/>
      <c r="D33" s="115" t="s">
        <v>183</v>
      </c>
    </row>
    <row r="34" spans="1:4" x14ac:dyDescent="0.25">
      <c r="A34" s="108"/>
      <c r="B34" s="113" t="s">
        <v>181</v>
      </c>
      <c r="C34" s="171">
        <v>12</v>
      </c>
      <c r="D34" s="109" t="s">
        <v>181</v>
      </c>
    </row>
    <row r="35" spans="1:4" x14ac:dyDescent="0.25">
      <c r="A35" s="110" t="s">
        <v>170</v>
      </c>
      <c r="B35" s="111" t="s">
        <v>182</v>
      </c>
      <c r="C35" s="172"/>
      <c r="D35" s="116" t="s">
        <v>181</v>
      </c>
    </row>
  </sheetData>
  <sheetProtection algorithmName="SHA-512" hashValue="BtrUedCzBwZd+pDAcn/tmBZehU6EBOo192kTylzj838RDvf2SRRRrudOqlFh/yqShQL4rNM9MNZ7+Tf1pdUIXg==" saltValue="lvRlR/slxODlgQ3REMp9Rw==" spinCount="100000" sheet="1" objects="1" scenarios="1" selectLockedCells="1"/>
  <mergeCells count="6">
    <mergeCell ref="C28:C29"/>
    <mergeCell ref="C30:C31"/>
    <mergeCell ref="C32:C33"/>
    <mergeCell ref="C34:C35"/>
    <mergeCell ref="Q1:AC1"/>
    <mergeCell ref="Q25:AC2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8" fitToWidth="2" orientation="portrait" r:id="rId1"/>
  <colBreaks count="1" manualBreakCount="1">
    <brk id="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A137"/>
  <sheetViews>
    <sheetView zoomScaleNormal="100" workbookViewId="0">
      <pane xSplit="11" topLeftCell="BC1" activePane="topRight" state="frozen"/>
      <selection pane="topRight" activeCell="A131" sqref="A131:I131"/>
    </sheetView>
  </sheetViews>
  <sheetFormatPr defaultRowHeight="15" x14ac:dyDescent="0.25"/>
  <cols>
    <col min="1" max="1" width="13.42578125" style="40" customWidth="1"/>
    <col min="2" max="2" width="9.140625" style="40" bestFit="1" customWidth="1"/>
    <col min="3" max="3" width="10.7109375" style="40" customWidth="1"/>
    <col min="4" max="4" width="6" style="40" customWidth="1"/>
    <col min="5" max="5" width="10.7109375" style="40" customWidth="1"/>
    <col min="6" max="6" width="1.28515625" style="40" customWidth="1"/>
    <col min="7" max="7" width="16" style="40" customWidth="1"/>
    <col min="8" max="8" width="10" style="40" customWidth="1"/>
    <col min="9" max="9" width="12" style="41" customWidth="1"/>
    <col min="11" max="11" width="31.28515625" hidden="1" customWidth="1"/>
    <col min="12" max="12" width="14.28515625" hidden="1" customWidth="1"/>
    <col min="13" max="13" width="11.5703125" hidden="1" customWidth="1"/>
    <col min="14" max="14" width="9.7109375" hidden="1" customWidth="1"/>
    <col min="15" max="15" width="12.7109375" hidden="1" customWidth="1"/>
    <col min="16" max="16" width="14" hidden="1" customWidth="1"/>
    <col min="17" max="17" width="28.140625" hidden="1" customWidth="1"/>
    <col min="18" max="18" width="9.140625" hidden="1" customWidth="1"/>
    <col min="19" max="19" width="12.7109375" hidden="1" customWidth="1"/>
    <col min="20" max="20" width="14" hidden="1" customWidth="1"/>
    <col min="21" max="21" width="12.28515625" hidden="1" customWidth="1"/>
    <col min="22" max="22" width="10.7109375" hidden="1" customWidth="1"/>
    <col min="23" max="23" width="10.42578125" hidden="1" customWidth="1"/>
    <col min="24" max="24" width="14" hidden="1" customWidth="1"/>
    <col min="25" max="25" width="12.28515625" hidden="1" customWidth="1"/>
    <col min="26" max="26" width="8.85546875" hidden="1" customWidth="1"/>
    <col min="27" max="27" width="13.140625" hidden="1" customWidth="1"/>
    <col min="28" max="28" width="6.7109375" hidden="1" customWidth="1"/>
    <col min="29" max="29" width="8.42578125" hidden="1" customWidth="1"/>
    <col min="30" max="30" width="8.140625" hidden="1" customWidth="1"/>
    <col min="31" max="31" width="10.5703125" hidden="1" customWidth="1"/>
    <col min="32" max="32" width="14" hidden="1" customWidth="1"/>
    <col min="33" max="33" width="12.28515625" hidden="1" customWidth="1"/>
    <col min="34" max="34" width="7.140625" hidden="1" customWidth="1"/>
    <col min="35" max="35" width="12.140625" hidden="1" customWidth="1"/>
    <col min="36" max="36" width="14" hidden="1" customWidth="1"/>
    <col min="37" max="37" width="12.28515625" hidden="1" customWidth="1"/>
    <col min="38" max="38" width="6.7109375" hidden="1" customWidth="1"/>
    <col min="39" max="39" width="10.42578125" hidden="1" customWidth="1"/>
    <col min="40" max="40" width="14" hidden="1" customWidth="1"/>
    <col min="41" max="41" width="12.28515625" hidden="1" customWidth="1"/>
    <col min="42" max="42" width="8.42578125" hidden="1" customWidth="1"/>
    <col min="43" max="43" width="10.42578125" hidden="1" customWidth="1"/>
    <col min="44" max="44" width="14" hidden="1" customWidth="1"/>
    <col min="45" max="45" width="12.28515625" hidden="1" customWidth="1"/>
    <col min="46" max="46" width="13.42578125" hidden="1" customWidth="1"/>
    <col min="47" max="47" width="9.140625" hidden="1" customWidth="1"/>
    <col min="48" max="48" width="10" hidden="1" customWidth="1"/>
    <col min="49" max="49" width="9.140625" hidden="1" customWidth="1"/>
    <col min="50" max="50" width="10.5703125" hidden="1" customWidth="1"/>
    <col min="51" max="52" width="9.140625" hidden="1" customWidth="1"/>
    <col min="53" max="54" width="0" hidden="1" customWidth="1"/>
  </cols>
  <sheetData>
    <row r="1" spans="1:53" s="7" customFormat="1" ht="15.75" customHeight="1" x14ac:dyDescent="0.25">
      <c r="A1" s="190" t="s">
        <v>39</v>
      </c>
      <c r="B1" s="190"/>
      <c r="C1" s="190"/>
      <c r="D1" s="190"/>
      <c r="E1" s="190"/>
      <c r="F1" s="190"/>
      <c r="G1" s="190"/>
      <c r="H1" s="190"/>
      <c r="I1" s="190"/>
      <c r="K1" s="2" t="s">
        <v>17</v>
      </c>
      <c r="L1" s="2"/>
      <c r="M1" s="2"/>
      <c r="N1" s="7" t="s">
        <v>96</v>
      </c>
      <c r="O1" s="7" t="s">
        <v>27</v>
      </c>
      <c r="P1" s="7" t="s">
        <v>28</v>
      </c>
      <c r="Q1" s="7" t="s">
        <v>106</v>
      </c>
      <c r="R1" s="7" t="s">
        <v>97</v>
      </c>
      <c r="S1" s="7" t="s">
        <v>27</v>
      </c>
      <c r="T1" s="7" t="s">
        <v>28</v>
      </c>
      <c r="U1" s="7" t="s">
        <v>106</v>
      </c>
      <c r="W1" s="7" t="s">
        <v>27</v>
      </c>
      <c r="X1" s="7" t="s">
        <v>28</v>
      </c>
      <c r="Y1" s="7" t="s">
        <v>106</v>
      </c>
      <c r="AD1" s="7" t="s">
        <v>111</v>
      </c>
      <c r="AE1" s="7" t="s">
        <v>27</v>
      </c>
      <c r="AF1" s="7" t="s">
        <v>28</v>
      </c>
      <c r="AG1" s="7" t="s">
        <v>106</v>
      </c>
      <c r="AH1" s="7" t="s">
        <v>112</v>
      </c>
      <c r="AI1" s="7" t="s">
        <v>27</v>
      </c>
      <c r="AJ1" s="7" t="s">
        <v>28</v>
      </c>
      <c r="AK1" s="7" t="s">
        <v>106</v>
      </c>
      <c r="AL1" s="7" t="s">
        <v>113</v>
      </c>
      <c r="AM1" s="7" t="s">
        <v>27</v>
      </c>
      <c r="AN1" s="7" t="s">
        <v>28</v>
      </c>
      <c r="AO1" s="7" t="s">
        <v>106</v>
      </c>
      <c r="AP1" s="7" t="s">
        <v>114</v>
      </c>
      <c r="AQ1" s="7" t="s">
        <v>27</v>
      </c>
      <c r="AR1" s="7" t="s">
        <v>28</v>
      </c>
      <c r="AS1" s="7" t="s">
        <v>106</v>
      </c>
      <c r="AT1" s="7" t="s">
        <v>187</v>
      </c>
      <c r="AU1" s="7" t="s">
        <v>192</v>
      </c>
      <c r="AV1" s="7" t="s">
        <v>190</v>
      </c>
      <c r="AW1" s="7" t="s">
        <v>191</v>
      </c>
      <c r="AX1" s="7" t="s">
        <v>227</v>
      </c>
    </row>
    <row r="2" spans="1:53" ht="15.75" customHeight="1" x14ac:dyDescent="0.25">
      <c r="A2" s="11" t="s">
        <v>30</v>
      </c>
      <c r="B2" s="11"/>
      <c r="C2" s="191" t="str">
        <f>IF('Order Form'!C5="","",'Order Form'!C5)</f>
        <v/>
      </c>
      <c r="D2" s="191"/>
      <c r="E2" s="191"/>
      <c r="F2" s="191"/>
      <c r="G2" s="191"/>
      <c r="H2" s="12" t="s">
        <v>29</v>
      </c>
      <c r="I2" s="42" t="str">
        <f>IF('Order Form'!L6="","",'Order Form'!L6)</f>
        <v/>
      </c>
      <c r="K2" s="2" t="s">
        <v>194</v>
      </c>
      <c r="L2" s="2" t="s">
        <v>42</v>
      </c>
      <c r="M2" s="2" t="s">
        <v>43</v>
      </c>
      <c r="N2" t="s">
        <v>140</v>
      </c>
      <c r="O2" s="2" t="s">
        <v>110</v>
      </c>
      <c r="P2">
        <v>0</v>
      </c>
      <c r="Q2" s="2" t="s">
        <v>135</v>
      </c>
      <c r="R2" t="s">
        <v>141</v>
      </c>
      <c r="S2" s="2" t="s">
        <v>110</v>
      </c>
      <c r="T2">
        <v>0</v>
      </c>
      <c r="V2">
        <v>1</v>
      </c>
      <c r="Z2" t="s">
        <v>115</v>
      </c>
      <c r="AA2" t="s">
        <v>116</v>
      </c>
      <c r="AC2" t="s">
        <v>41</v>
      </c>
      <c r="AD2" t="s">
        <v>142</v>
      </c>
      <c r="AE2" t="s">
        <v>143</v>
      </c>
      <c r="AF2">
        <v>-200</v>
      </c>
      <c r="AH2" t="s">
        <v>144</v>
      </c>
      <c r="AI2" t="s">
        <v>145</v>
      </c>
      <c r="AJ2">
        <v>-200.5</v>
      </c>
      <c r="AP2" t="s">
        <v>146</v>
      </c>
      <c r="AQ2" t="s">
        <v>143</v>
      </c>
      <c r="AR2">
        <v>-200</v>
      </c>
      <c r="AT2" t="s">
        <v>153</v>
      </c>
      <c r="AU2" t="s">
        <v>188</v>
      </c>
      <c r="AV2" t="s">
        <v>189</v>
      </c>
      <c r="AW2">
        <v>-10</v>
      </c>
      <c r="AX2" t="s">
        <v>228</v>
      </c>
      <c r="AY2" t="s">
        <v>229</v>
      </c>
      <c r="AZ2" t="s">
        <v>230</v>
      </c>
      <c r="BA2">
        <v>-210</v>
      </c>
    </row>
    <row r="3" spans="1:53" ht="15.75" customHeight="1" x14ac:dyDescent="0.25">
      <c r="A3" s="11" t="s">
        <v>40</v>
      </c>
      <c r="B3" s="11"/>
      <c r="C3" s="185" t="str">
        <f>IF('Order Form'!C11="","",'Order Form'!C11)</f>
        <v/>
      </c>
      <c r="D3" s="185"/>
      <c r="E3" s="185"/>
      <c r="F3" s="185"/>
      <c r="G3" s="185"/>
      <c r="H3" s="12" t="s">
        <v>107</v>
      </c>
      <c r="I3" s="43" t="str">
        <f>IF('Order Form'!D11="","",'Order Form'!D11)</f>
        <v/>
      </c>
      <c r="K3" s="2" t="s">
        <v>195</v>
      </c>
      <c r="L3" s="2" t="s">
        <v>94</v>
      </c>
      <c r="M3" s="2"/>
      <c r="N3" t="s">
        <v>140</v>
      </c>
      <c r="O3" s="2" t="s">
        <v>110</v>
      </c>
      <c r="P3">
        <v>0</v>
      </c>
      <c r="Q3" s="2" t="s">
        <v>135</v>
      </c>
      <c r="S3" s="2"/>
      <c r="V3">
        <v>2</v>
      </c>
      <c r="Z3" t="s">
        <v>115</v>
      </c>
      <c r="AA3" t="s">
        <v>116</v>
      </c>
      <c r="AC3" t="s">
        <v>41</v>
      </c>
      <c r="AD3" t="s">
        <v>142</v>
      </c>
      <c r="AE3" t="s">
        <v>143</v>
      </c>
      <c r="AF3">
        <v>-200</v>
      </c>
      <c r="AH3" t="s">
        <v>144</v>
      </c>
      <c r="AI3" t="s">
        <v>145</v>
      </c>
      <c r="AJ3">
        <v>-200.5</v>
      </c>
      <c r="AP3" t="s">
        <v>146</v>
      </c>
      <c r="AQ3" t="s">
        <v>143</v>
      </c>
      <c r="AR3">
        <v>-200</v>
      </c>
      <c r="AX3" t="s">
        <v>228</v>
      </c>
      <c r="AY3" t="s">
        <v>229</v>
      </c>
      <c r="AZ3" t="s">
        <v>230</v>
      </c>
      <c r="BA3">
        <v>-210</v>
      </c>
    </row>
    <row r="4" spans="1:53" ht="15.75" customHeight="1" x14ac:dyDescent="0.25">
      <c r="A4" s="11" t="s">
        <v>31</v>
      </c>
      <c r="B4" s="12" t="s">
        <v>24</v>
      </c>
      <c r="C4" s="43" t="str">
        <f>IF('Order Form'!E11="","",'Order Form'!E11)</f>
        <v/>
      </c>
      <c r="D4" s="12" t="s">
        <v>25</v>
      </c>
      <c r="E4" s="43" t="str">
        <f>IF('Order Form'!F11="","",'Order Form'!F11)</f>
        <v/>
      </c>
      <c r="F4" s="13"/>
      <c r="G4" s="128"/>
      <c r="H4" s="12" t="s">
        <v>108</v>
      </c>
      <c r="I4" s="43" t="str">
        <f>IF('Order Form'!I11="","",IF('Order Form'!I11=0,"",'Order Form'!I11))</f>
        <v/>
      </c>
      <c r="K4" s="2" t="s">
        <v>32</v>
      </c>
      <c r="L4" s="2" t="s">
        <v>42</v>
      </c>
      <c r="M4" s="2" t="s">
        <v>43</v>
      </c>
      <c r="N4" t="s">
        <v>103</v>
      </c>
      <c r="O4" s="2" t="s">
        <v>110</v>
      </c>
      <c r="P4">
        <v>0</v>
      </c>
      <c r="Q4" s="2" t="s">
        <v>135</v>
      </c>
      <c r="R4" s="2" t="s">
        <v>104</v>
      </c>
      <c r="S4" s="2" t="s">
        <v>110</v>
      </c>
      <c r="T4">
        <v>0</v>
      </c>
      <c r="V4">
        <v>1</v>
      </c>
      <c r="Z4" t="s">
        <v>115</v>
      </c>
      <c r="AA4" t="s">
        <v>116</v>
      </c>
      <c r="AC4" t="s">
        <v>41</v>
      </c>
      <c r="AD4" t="s">
        <v>119</v>
      </c>
      <c r="AE4" t="s">
        <v>123</v>
      </c>
      <c r="AF4">
        <v>-164</v>
      </c>
      <c r="AH4" t="s">
        <v>120</v>
      </c>
      <c r="AI4" t="s">
        <v>124</v>
      </c>
      <c r="AJ4">
        <v>-164.5</v>
      </c>
      <c r="AP4" t="s">
        <v>122</v>
      </c>
      <c r="AQ4" t="s">
        <v>123</v>
      </c>
      <c r="AR4">
        <v>-164</v>
      </c>
      <c r="AX4" t="s">
        <v>228</v>
      </c>
      <c r="AY4" t="s">
        <v>229</v>
      </c>
      <c r="AZ4" t="s">
        <v>230</v>
      </c>
      <c r="BA4">
        <v>-174</v>
      </c>
    </row>
    <row r="5" spans="1:53" ht="15.75" customHeight="1" x14ac:dyDescent="0.25">
      <c r="A5" s="11"/>
      <c r="B5" s="12"/>
      <c r="C5" s="129"/>
      <c r="D5" s="12"/>
      <c r="E5" s="129"/>
      <c r="F5" s="13"/>
      <c r="G5" s="12"/>
      <c r="H5" s="12" t="s">
        <v>225</v>
      </c>
      <c r="I5" s="131" t="str">
        <f>IF('Order Form'!J11=TRUE,"Yes","")</f>
        <v/>
      </c>
      <c r="K5" s="2" t="s">
        <v>34</v>
      </c>
      <c r="L5" s="2" t="s">
        <v>95</v>
      </c>
      <c r="M5" s="2" t="s">
        <v>193</v>
      </c>
      <c r="N5" t="s">
        <v>101</v>
      </c>
      <c r="O5" s="2" t="s">
        <v>110</v>
      </c>
      <c r="P5">
        <v>0</v>
      </c>
      <c r="Q5" t="s">
        <v>109</v>
      </c>
      <c r="R5" t="s">
        <v>102</v>
      </c>
      <c r="S5" s="2"/>
      <c r="V5">
        <v>1</v>
      </c>
      <c r="Z5" t="s">
        <v>118</v>
      </c>
      <c r="AA5" t="s">
        <v>117</v>
      </c>
      <c r="AB5" t="s">
        <v>116</v>
      </c>
      <c r="AC5" t="s">
        <v>41</v>
      </c>
      <c r="AD5" t="s">
        <v>121</v>
      </c>
      <c r="AE5" t="s">
        <v>123</v>
      </c>
      <c r="AF5">
        <v>-164</v>
      </c>
      <c r="AH5" t="s">
        <v>119</v>
      </c>
      <c r="AI5" t="s">
        <v>123</v>
      </c>
      <c r="AJ5">
        <v>-164</v>
      </c>
      <c r="AL5" t="s">
        <v>120</v>
      </c>
      <c r="AM5" t="s">
        <v>124</v>
      </c>
      <c r="AN5">
        <v>-164.5</v>
      </c>
      <c r="AP5" t="s">
        <v>122</v>
      </c>
      <c r="AQ5" t="s">
        <v>123</v>
      </c>
      <c r="AR5">
        <v>-164</v>
      </c>
      <c r="AX5" t="s">
        <v>228</v>
      </c>
      <c r="AY5" t="s">
        <v>229</v>
      </c>
      <c r="AZ5" t="s">
        <v>230</v>
      </c>
      <c r="BA5">
        <v>-174</v>
      </c>
    </row>
    <row r="6" spans="1:53" ht="15.75" customHeight="1" x14ac:dyDescent="0.25">
      <c r="A6" s="186" t="s">
        <v>2</v>
      </c>
      <c r="B6" s="186"/>
      <c r="C6" s="186"/>
      <c r="D6" s="186"/>
      <c r="E6" s="186"/>
      <c r="F6" s="186"/>
      <c r="G6" s="186"/>
      <c r="H6" s="186"/>
      <c r="I6" s="186"/>
      <c r="K6" s="2" t="s">
        <v>36</v>
      </c>
      <c r="L6" s="2" t="s">
        <v>95</v>
      </c>
      <c r="M6" s="2"/>
      <c r="N6" t="s">
        <v>101</v>
      </c>
      <c r="O6" s="2" t="s">
        <v>110</v>
      </c>
      <c r="P6">
        <v>0</v>
      </c>
      <c r="S6" s="2"/>
      <c r="V6">
        <v>2</v>
      </c>
      <c r="Z6" t="s">
        <v>115</v>
      </c>
      <c r="AA6" t="s">
        <v>116</v>
      </c>
      <c r="AC6" t="s">
        <v>41</v>
      </c>
      <c r="AD6" t="s">
        <v>119</v>
      </c>
      <c r="AE6" t="s">
        <v>123</v>
      </c>
      <c r="AF6">
        <v>-164</v>
      </c>
      <c r="AH6" t="s">
        <v>120</v>
      </c>
      <c r="AI6" t="s">
        <v>124</v>
      </c>
      <c r="AJ6">
        <v>-164.5</v>
      </c>
      <c r="AP6" t="s">
        <v>122</v>
      </c>
      <c r="AQ6" t="s">
        <v>123</v>
      </c>
      <c r="AR6">
        <v>-164</v>
      </c>
      <c r="AX6" t="s">
        <v>228</v>
      </c>
      <c r="AY6" t="s">
        <v>229</v>
      </c>
      <c r="AZ6" t="s">
        <v>230</v>
      </c>
      <c r="BA6">
        <v>-174</v>
      </c>
    </row>
    <row r="7" spans="1:53" ht="15.75" customHeight="1" thickBot="1" x14ac:dyDescent="0.3">
      <c r="A7" s="187" t="s">
        <v>26</v>
      </c>
      <c r="B7" s="188"/>
      <c r="C7" s="187" t="s">
        <v>27</v>
      </c>
      <c r="D7" s="188"/>
      <c r="E7" s="187" t="s">
        <v>28</v>
      </c>
      <c r="F7" s="188"/>
      <c r="G7" s="187" t="s">
        <v>106</v>
      </c>
      <c r="H7" s="188"/>
      <c r="I7" s="34" t="s">
        <v>38</v>
      </c>
      <c r="K7" s="21" t="s">
        <v>33</v>
      </c>
      <c r="L7" s="2" t="s">
        <v>42</v>
      </c>
      <c r="M7" s="2" t="s">
        <v>43</v>
      </c>
      <c r="N7" t="s">
        <v>98</v>
      </c>
      <c r="O7" s="2" t="s">
        <v>110</v>
      </c>
      <c r="P7">
        <v>0</v>
      </c>
      <c r="Q7" s="2" t="s">
        <v>135</v>
      </c>
      <c r="R7" t="s">
        <v>105</v>
      </c>
      <c r="S7" s="2" t="s">
        <v>110</v>
      </c>
      <c r="T7">
        <v>0</v>
      </c>
      <c r="V7">
        <v>1</v>
      </c>
      <c r="Z7" t="s">
        <v>115</v>
      </c>
      <c r="AA7" t="s">
        <v>116</v>
      </c>
      <c r="AC7" t="s">
        <v>41</v>
      </c>
      <c r="AD7" t="s">
        <v>119</v>
      </c>
      <c r="AE7" t="s">
        <v>125</v>
      </c>
      <c r="AF7">
        <v>-260</v>
      </c>
      <c r="AH7" t="s">
        <v>120</v>
      </c>
      <c r="AI7" t="s">
        <v>126</v>
      </c>
      <c r="AJ7">
        <v>-260.5</v>
      </c>
      <c r="AP7" t="s">
        <v>122</v>
      </c>
      <c r="AQ7" t="s">
        <v>125</v>
      </c>
      <c r="AR7">
        <v>-260</v>
      </c>
      <c r="AX7" t="s">
        <v>228</v>
      </c>
      <c r="AY7" t="s">
        <v>229</v>
      </c>
      <c r="AZ7" t="s">
        <v>230</v>
      </c>
      <c r="BA7">
        <v>-270</v>
      </c>
    </row>
    <row r="8" spans="1:53" ht="15.75" customHeight="1" thickTop="1" x14ac:dyDescent="0.25">
      <c r="A8" s="38" t="str">
        <f>IFERROR(IF(VLOOKUP($C$3,$K$2:$AZ$17,2,FALSE)="","",VLOOKUP($C$3,$K$2:$AZ$17,2,FALSE)),"")</f>
        <v/>
      </c>
      <c r="B8" s="37" t="str">
        <f>IFERROR(IF(VLOOKUP($C$3,$K$2:$AZ$19,4,FALSE)="","",VLOOKUP($C$3,$K$2:$AZ$19,4,FALSE)),"")</f>
        <v/>
      </c>
      <c r="C8" s="178" t="str">
        <f>IF($B$8="","","Height = Height")</f>
        <v/>
      </c>
      <c r="D8" s="179"/>
      <c r="E8" s="180" t="str">
        <f>IF(C8="","",$C$4)</f>
        <v/>
      </c>
      <c r="F8" s="181"/>
      <c r="G8" s="182" t="str">
        <f>IFERROR(IF($C$3="","",IF(VLOOKUP($C$3,$K$2:$U$9,7,FALSE)="","",VLOOKUP($C$3,$K$2:$U$9,7,FALSE))),"")</f>
        <v/>
      </c>
      <c r="H8" s="183"/>
      <c r="I8" s="117" t="str">
        <f>IF(A8="","",IF(I3="","",VLOOKUP(C3,$K$2:$V$9,12,FALSE)*I3))</f>
        <v/>
      </c>
      <c r="K8" s="2" t="s">
        <v>35</v>
      </c>
      <c r="L8" s="2" t="s">
        <v>95</v>
      </c>
      <c r="M8" s="2" t="s">
        <v>193</v>
      </c>
      <c r="N8" t="s">
        <v>99</v>
      </c>
      <c r="O8" s="2" t="s">
        <v>110</v>
      </c>
      <c r="P8">
        <v>0</v>
      </c>
      <c r="Q8" t="s">
        <v>109</v>
      </c>
      <c r="R8" t="s">
        <v>100</v>
      </c>
      <c r="S8" s="2"/>
      <c r="V8">
        <v>1</v>
      </c>
      <c r="Z8" t="s">
        <v>118</v>
      </c>
      <c r="AA8" t="s">
        <v>117</v>
      </c>
      <c r="AB8" t="s">
        <v>116</v>
      </c>
      <c r="AC8" t="s">
        <v>41</v>
      </c>
      <c r="AD8" t="s">
        <v>121</v>
      </c>
      <c r="AE8" t="s">
        <v>125</v>
      </c>
      <c r="AF8">
        <v>-260</v>
      </c>
      <c r="AH8" t="s">
        <v>119</v>
      </c>
      <c r="AI8" t="s">
        <v>125</v>
      </c>
      <c r="AJ8">
        <v>-260</v>
      </c>
      <c r="AL8" t="s">
        <v>120</v>
      </c>
      <c r="AM8" t="s">
        <v>126</v>
      </c>
      <c r="AN8">
        <v>-260.5</v>
      </c>
      <c r="AP8" t="s">
        <v>122</v>
      </c>
      <c r="AQ8" t="s">
        <v>125</v>
      </c>
      <c r="AR8">
        <v>-260</v>
      </c>
      <c r="AX8" t="s">
        <v>228</v>
      </c>
      <c r="AY8" t="s">
        <v>229</v>
      </c>
      <c r="AZ8" t="s">
        <v>230</v>
      </c>
      <c r="BA8">
        <v>-270</v>
      </c>
    </row>
    <row r="9" spans="1:53" ht="15.75" customHeight="1" x14ac:dyDescent="0.25">
      <c r="A9" s="38" t="str">
        <f>IFERROR(IF(VLOOKUP($C$3,$K$2:$AZ$17,3,FALSE)="","",VLOOKUP($C$3,$K$2:$AZ$17,3,FALSE)),"")</f>
        <v/>
      </c>
      <c r="B9" s="37" t="str">
        <f>IFERROR(IF(VLOOKUP($C$3,$K$2:$AZ$19,8,FALSE)="","",VLOOKUP($C$3,$K$2:$AZ$19,8,FALSE)),"")</f>
        <v/>
      </c>
      <c r="C9" s="178" t="str">
        <f>IF($B$9="","","Height = Height")</f>
        <v/>
      </c>
      <c r="D9" s="179"/>
      <c r="E9" s="180" t="str">
        <f>IF(C9="","",$C$4)</f>
        <v/>
      </c>
      <c r="F9" s="181"/>
      <c r="G9" s="184" t="str">
        <f>IFERROR(IF($C$3="","",IF(VLOOKUP($C$3,$K$2:$U$9,11,FALSE)="","",VLOOKUP($C$3,$K$2:$U$9,11,FALSE))),"")</f>
        <v/>
      </c>
      <c r="H9" s="184"/>
      <c r="I9" s="35" t="str">
        <f>IF(A9="","",IF(I3="","",VLOOKUP(A9,$M$2:$V$9,10,FALSE)*I3))</f>
        <v/>
      </c>
      <c r="K9" s="2" t="s">
        <v>37</v>
      </c>
      <c r="L9" s="2" t="s">
        <v>95</v>
      </c>
      <c r="M9" s="2"/>
      <c r="N9" t="s">
        <v>99</v>
      </c>
      <c r="O9" s="2" t="s">
        <v>110</v>
      </c>
      <c r="P9">
        <v>0</v>
      </c>
      <c r="S9" s="2"/>
      <c r="V9">
        <v>2</v>
      </c>
      <c r="Z9" t="s">
        <v>115</v>
      </c>
      <c r="AA9" t="s">
        <v>116</v>
      </c>
      <c r="AC9" t="s">
        <v>41</v>
      </c>
      <c r="AD9" t="s">
        <v>119</v>
      </c>
      <c r="AE9" t="s">
        <v>125</v>
      </c>
      <c r="AF9">
        <v>-260</v>
      </c>
      <c r="AH9" t="s">
        <v>120</v>
      </c>
      <c r="AI9" t="s">
        <v>126</v>
      </c>
      <c r="AJ9">
        <v>-260.5</v>
      </c>
      <c r="AP9" t="s">
        <v>122</v>
      </c>
      <c r="AQ9" t="s">
        <v>125</v>
      </c>
      <c r="AR9">
        <v>-260</v>
      </c>
      <c r="AX9" t="s">
        <v>228</v>
      </c>
      <c r="AY9" t="s">
        <v>229</v>
      </c>
      <c r="AZ9" t="s">
        <v>230</v>
      </c>
      <c r="BA9">
        <v>-270</v>
      </c>
    </row>
    <row r="10" spans="1:53" ht="15.75" customHeight="1" x14ac:dyDescent="0.25">
      <c r="A10" s="38" t="str">
        <f>IF('Order Form'!G11&lt;4.5,"",VLOOKUP('Order Form'!C11,'Cutting Sheet'!$K$1:$AW$9,36,FALSE))</f>
        <v/>
      </c>
      <c r="B10" s="37" t="str">
        <f>IFERROR(IF(A10="","",IF(VLOOKUP($C$3,$K$2:$AZ$19,37,FALSE)="","",VLOOKUP($C$3,$K$2:$AZ$19,37,FALSE))),"")</f>
        <v/>
      </c>
      <c r="C10" s="178" t="str">
        <f>IF(A10="","","Height -10")</f>
        <v/>
      </c>
      <c r="D10" s="179"/>
      <c r="E10" s="180" t="str">
        <f>IF(A10="","",IF('Order Form'!G11&gt;4.5,(C4-10),""))</f>
        <v/>
      </c>
      <c r="F10" s="181"/>
      <c r="G10" s="178"/>
      <c r="H10" s="179"/>
      <c r="I10" s="35" t="str">
        <f>IF(A10="","",ROUNDUP(I3/2,0))</f>
        <v/>
      </c>
    </row>
    <row r="11" spans="1:53" ht="15.75" customHeight="1" x14ac:dyDescent="0.25">
      <c r="A11" s="186" t="s">
        <v>3</v>
      </c>
      <c r="B11" s="189"/>
      <c r="C11" s="186"/>
      <c r="D11" s="186"/>
      <c r="E11" s="186"/>
      <c r="F11" s="186"/>
      <c r="G11" s="186"/>
      <c r="H11" s="186"/>
      <c r="I11" s="186"/>
    </row>
    <row r="12" spans="1:53" ht="15.75" customHeight="1" x14ac:dyDescent="0.25">
      <c r="A12" s="38" t="str">
        <f>IFERROR(IF(VLOOKUP($C$3,$K$2:$AZ$17,16,FALSE)="","",VLOOKUP($C$3,$K$2:$AZ$17,16,FALSE)),"")</f>
        <v/>
      </c>
      <c r="B12" s="37" t="str">
        <f>IFERROR(IF(VLOOKUP($C$3,$K$2:$AZ$19,20,FALSE)="","",VLOOKUP($C$3,$K$2:$AZ$19,20,FALSE)),"")</f>
        <v/>
      </c>
      <c r="C12" s="178" t="str">
        <f>IFERROR(IF($C$3="","",IF(VLOOKUP($C$3,$K$2:$AZ$9,21,FALSE)="","",VLOOKUP($C$3,$K$2:$AZ$9,21,FALSE))),"")</f>
        <v/>
      </c>
      <c r="D12" s="179"/>
      <c r="E12" s="180" t="str">
        <f>IFERROR(IF($C$3="","",IF(VLOOKUP($C$3,$K$2:$AZ$9,22,FALSE)="","",$E$4+VLOOKUP($C$3,$K$2:$AZ$9,22,FALSE))),"")</f>
        <v/>
      </c>
      <c r="F12" s="181"/>
      <c r="G12" s="178" t="str">
        <f>IFERROR(IF($C$3="","",IF(VLOOKUP($C$3,$K$2:$AZ$9,23,FALSE)="","",VLOOKUP($C$3,$K$2:$AZ$9,23,FALSE))),"")</f>
        <v/>
      </c>
      <c r="H12" s="179"/>
      <c r="I12" s="35" t="str">
        <f>IF(I3="","",IF(A12="","",IF($A$12=$Z$2,$I$3*2,$I$3)))</f>
        <v/>
      </c>
    </row>
    <row r="13" spans="1:53" ht="15.75" customHeight="1" x14ac:dyDescent="0.25">
      <c r="A13" s="38" t="str">
        <f>IFERROR(IF(VLOOKUP($C$3,$K$2:$AZ$17,17,FALSE)="","",VLOOKUP($C$3,$K$2:$AZ$17,17,FALSE)),"")</f>
        <v/>
      </c>
      <c r="B13" s="37" t="str">
        <f>IFERROR(IF(VLOOKUP($C$3,$K$2:$AZ$19,24,FALSE)="","",VLOOKUP($C$3,$K$2:$AZ$19,24,FALSE)),"")</f>
        <v/>
      </c>
      <c r="C13" s="178" t="str">
        <f>IFERROR(IF($C$3="","",IF(VLOOKUP($C$3,$K$2:$AZ$9,25,FALSE)="","",VLOOKUP($C$3,$K$2:$AZ$9,25,FALSE))),"")</f>
        <v/>
      </c>
      <c r="D13" s="179"/>
      <c r="E13" s="180" t="str">
        <f>IFERROR(IF($C$3="","",IF(VLOOKUP($C$3,$K$2:$AZ$9,26,FALSE)="","",$E$4+VLOOKUP($C$3,$K$2:$AZ$9,26,FALSE))),"")</f>
        <v/>
      </c>
      <c r="F13" s="181"/>
      <c r="G13" s="178" t="str">
        <f>IFERROR(IF($C$3="","",IF(VLOOKUP($C$3,$K$2:$AZ$9,27,FALSE)="","",VLOOKUP($C$3,$K$2:$AZ$9,27,FALSE))),"")</f>
        <v/>
      </c>
      <c r="H13" s="179"/>
      <c r="I13" s="35" t="str">
        <f>IF(I3="","",IF(A13="","",IF($A$12=$Z$2,IF($A$15=$AC$2,I12+(I15*2),$I$3*2),$I$3)))</f>
        <v/>
      </c>
    </row>
    <row r="14" spans="1:53" ht="15.75" customHeight="1" x14ac:dyDescent="0.25">
      <c r="A14" s="38" t="str">
        <f>IFERROR(IF(VLOOKUP($C$3,$K$2:$AZ$17,18,FALSE)="","",VLOOKUP($C$3,$K$2:$AZ$17,18,FALSE)),"")</f>
        <v/>
      </c>
      <c r="B14" s="37" t="str">
        <f>IFERROR(IF(VLOOKUP($C$3,$K$2:$AZ$19,28,FALSE)="","",VLOOKUP($C$3,$K$2:$AZ$19,28,FALSE)),"")</f>
        <v/>
      </c>
      <c r="C14" s="178" t="str">
        <f>IFERROR(IF($C$3="","",IF(VLOOKUP($C$3,$K$2:$AZ$9,29,FALSE)="","",VLOOKUP($C$3,$K$2:$AZ$9,29,FALSE))),"")</f>
        <v/>
      </c>
      <c r="D14" s="179"/>
      <c r="E14" s="180" t="str">
        <f>IFERROR(IF($C$3="","",IF(VLOOKUP($C$3,$K$2:$AZ$9,30,FALSE)="","",$E$4+VLOOKUP($C$3,$K$2:$AZ$9,30,FALSE))),"")</f>
        <v/>
      </c>
      <c r="F14" s="181"/>
      <c r="G14" s="178" t="str">
        <f>IFERROR(IF($C$3="","",IF(VLOOKUP($C$3,$K$2:$AZ$9,31,FALSE)="","",VLOOKUP($C$3,$K$2:$AZ$9,31,FALSE))),"")</f>
        <v/>
      </c>
      <c r="H14" s="179"/>
      <c r="I14" s="35" t="str">
        <f>IF(I3="","",IF(A14="","",IF($A$15=$AC$2,I13+I12+(I15*2),IF($A$12=$Z$2,$I$3*2,$I$3))))</f>
        <v/>
      </c>
    </row>
    <row r="15" spans="1:53" ht="15.75" customHeight="1" x14ac:dyDescent="0.25">
      <c r="A15" s="38" t="str">
        <f>IFERROR(IF(I4="","",IF(VLOOKUP($C$3,$K$2:$AZ$17,19,FALSE)="","",VLOOKUP($C$3,$K$2:$AZ$17,19,FALSE))),"")</f>
        <v/>
      </c>
      <c r="B15" s="37" t="str">
        <f>IFERROR(IF(A15="","",IF(VLOOKUP($C$3,$K$2:$AZ$19,32,FALSE)="","",VLOOKUP($C$3,$K$2:$AZ$19,32,FALSE))),"")</f>
        <v/>
      </c>
      <c r="C15" s="178" t="str">
        <f>IFERROR(IF(A15="","",IF($C$3="","",IF(VLOOKUP($C$3,$K$2:$AZ$9,33,FALSE)="","",VLOOKUP($C$3,$K$2:$AZ$9,33,FALSE)))),"")</f>
        <v/>
      </c>
      <c r="D15" s="179"/>
      <c r="E15" s="180" t="str">
        <f>IFERROR(IF(A15="","",IF($C$3="","",IF(VLOOKUP($C$3,$K$2:$AZ$9,34,FALSE)="","",$E$4+VLOOKUP($C$3,$K$2:$AZ$9,34,FALSE)))),"")</f>
        <v/>
      </c>
      <c r="F15" s="181"/>
      <c r="G15" s="178" t="str">
        <f>IFERROR(IF(A15="","",IF($C$3="","",IF(VLOOKUP($C$3,$K$2:$AZ$9,35,FALSE)="","",VLOOKUP($C$3,$K$2:$AZ$9,35,FALSE)))),"")</f>
        <v/>
      </c>
      <c r="H15" s="179"/>
      <c r="I15" s="35" t="str">
        <f>IF(I3="","",IF(A15="","",I4*I3))</f>
        <v/>
      </c>
    </row>
    <row r="16" spans="1:53" ht="15.75" customHeight="1" x14ac:dyDescent="0.25">
      <c r="A16" s="38" t="str">
        <f>IFERROR(IF(I5="","",IF(VLOOKUP($C3,$K$2:$AZ$17,40,FALSE)="","",VLOOKUP($C3,$K$2:$AZ$17,40,FALSE))),"?")</f>
        <v/>
      </c>
      <c r="B16" s="37" t="str">
        <f>IFERROR(IF(A16="","",IF(VLOOKUP($C3,$K$2:$AZ$19,41,FALSE)="","",VLOOKUP($C3,$K$2:$AZ$19,41,FALSE))),"?")</f>
        <v/>
      </c>
      <c r="C16" s="178" t="str">
        <f>IFERROR(IF(A16="","",IF($C3="","",IF(VLOOKUP($C3,$K$2:$AZ$9,42,FALSE)="","",VLOOKUP($C3,$K$2:$AZ$9,42,FALSE)))),"?")</f>
        <v/>
      </c>
      <c r="D16" s="179"/>
      <c r="E16" s="180" t="str">
        <f>IFERROR(IF(A16="","",IF($C3="","",IF(VLOOKUP($C3,$K$2:$BA$9,43,FALSE)="","",$E4+VLOOKUP($C3,$K$2:$BA$9,43,FALSE)))),"?")</f>
        <v/>
      </c>
      <c r="F16" s="181"/>
      <c r="G16" s="178" t="str">
        <f>IFERROR(IF(A16="","",IF($C$3="","",IF(VLOOKUP($C$3,$K$2:$AZ$9,35,FALSE)="","",VLOOKUP($C$3,$K$2:$AZ$9,35,FALSE)))),"?")</f>
        <v/>
      </c>
      <c r="H16" s="179"/>
      <c r="I16" s="35" t="str">
        <f>IF(I5="","",IF(A16="","",I3))</f>
        <v/>
      </c>
    </row>
    <row r="17" spans="1:17" ht="5.0999999999999996" customHeight="1" x14ac:dyDescent="0.25">
      <c r="I17" s="55"/>
    </row>
    <row r="18" spans="1:17" ht="15.75" customHeight="1" x14ac:dyDescent="0.25">
      <c r="A18" s="11" t="s">
        <v>40</v>
      </c>
      <c r="B18" s="11"/>
      <c r="C18" s="185" t="str">
        <f>IF('Order Form'!C12="","",'Order Form'!C12)</f>
        <v/>
      </c>
      <c r="D18" s="185"/>
      <c r="E18" s="185"/>
      <c r="F18" s="185"/>
      <c r="G18" s="185"/>
      <c r="H18" s="12" t="s">
        <v>107</v>
      </c>
      <c r="I18" s="54" t="str">
        <f>IF('Order Form'!D12="","",'Order Form'!D12)</f>
        <v/>
      </c>
    </row>
    <row r="19" spans="1:17" ht="15.75" customHeight="1" x14ac:dyDescent="0.25">
      <c r="A19" s="11" t="s">
        <v>31</v>
      </c>
      <c r="B19" s="12" t="s">
        <v>24</v>
      </c>
      <c r="C19" s="43" t="str">
        <f>IF('Order Form'!E12="","",'Order Form'!E12)</f>
        <v/>
      </c>
      <c r="D19" s="12" t="s">
        <v>25</v>
      </c>
      <c r="E19" s="43" t="str">
        <f>IF('Order Form'!F12="","",'Order Form'!F12)</f>
        <v/>
      </c>
      <c r="F19" s="13"/>
      <c r="G19" s="39"/>
      <c r="H19" s="12" t="s">
        <v>108</v>
      </c>
      <c r="I19" s="43" t="str">
        <f>IF('Order Form'!I12="","",IF('Order Form'!I12=0,"",'Order Form'!I12))</f>
        <v/>
      </c>
    </row>
    <row r="20" spans="1:17" ht="15.75" customHeight="1" x14ac:dyDescent="0.25">
      <c r="A20" s="11"/>
      <c r="B20" s="12"/>
      <c r="C20" s="130"/>
      <c r="D20" s="12"/>
      <c r="E20" s="130"/>
      <c r="F20" s="13"/>
      <c r="G20" s="11"/>
      <c r="H20" s="12" t="s">
        <v>225</v>
      </c>
      <c r="I20" s="131" t="str">
        <f>IF('Order Form'!J12=TRUE,"Yes","")</f>
        <v/>
      </c>
    </row>
    <row r="21" spans="1:17" ht="15.75" customHeight="1" x14ac:dyDescent="0.25">
      <c r="A21" s="186" t="s">
        <v>2</v>
      </c>
      <c r="B21" s="186"/>
      <c r="C21" s="186"/>
      <c r="D21" s="186"/>
      <c r="E21" s="186"/>
      <c r="F21" s="186"/>
      <c r="G21" s="186"/>
      <c r="H21" s="186"/>
      <c r="I21" s="186"/>
    </row>
    <row r="22" spans="1:17" ht="15.75" customHeight="1" thickBot="1" x14ac:dyDescent="0.3">
      <c r="A22" s="187" t="s">
        <v>26</v>
      </c>
      <c r="B22" s="188"/>
      <c r="C22" s="187" t="s">
        <v>27</v>
      </c>
      <c r="D22" s="188"/>
      <c r="E22" s="187" t="s">
        <v>28</v>
      </c>
      <c r="F22" s="188"/>
      <c r="G22" s="187" t="s">
        <v>106</v>
      </c>
      <c r="H22" s="188"/>
      <c r="I22" s="34" t="s">
        <v>38</v>
      </c>
    </row>
    <row r="23" spans="1:17" ht="15.75" customHeight="1" thickTop="1" x14ac:dyDescent="0.25">
      <c r="A23" s="38" t="str">
        <f>IFERROR(IF(VLOOKUP($C$18,$K$2:$AZ$17,2,FALSE)="","",VLOOKUP($C$18,$K$2:$AZ$17,2,FALSE)),"")</f>
        <v/>
      </c>
      <c r="B23" s="37" t="str">
        <f>IFERROR(IF(VLOOKUP($C$18,$K$2:$AZ$19,4,FALSE)="","",VLOOKUP($C$18,$K$2:$AZ$19,4,FALSE)),"")</f>
        <v/>
      </c>
      <c r="C23" s="178" t="str">
        <f>IF($B$23="","","Height = Height")</f>
        <v/>
      </c>
      <c r="D23" s="179"/>
      <c r="E23" s="180" t="str">
        <f>IF(C23="","",$C$19)</f>
        <v/>
      </c>
      <c r="F23" s="181"/>
      <c r="G23" s="182" t="str">
        <f>IFERROR(IF($C$18="","",IF(VLOOKUP($C$18,$K$2:$U$9,7,FALSE)="","",VLOOKUP($C$18,$K$2:$U$9,7,FALSE))),"")</f>
        <v/>
      </c>
      <c r="H23" s="183"/>
      <c r="I23" s="117" t="str">
        <f>IF(A23="","",IF(I18="","",VLOOKUP(C18,$K$2:$V$9,12,FALSE)*I18))</f>
        <v/>
      </c>
      <c r="Q23" s="2"/>
    </row>
    <row r="24" spans="1:17" ht="15.75" customHeight="1" x14ac:dyDescent="0.25">
      <c r="A24" s="38" t="str">
        <f>IFERROR(IF(VLOOKUP($C$18,$K$2:$AZ$17,3,FALSE)="","",VLOOKUP($C$18,$K$2:$AZ$17,3,FALSE)),"")</f>
        <v/>
      </c>
      <c r="B24" s="37" t="str">
        <f>IFERROR(IF(VLOOKUP($C$18,$K$2:$AZ$19,8,FALSE)="","",VLOOKUP($C$18,$K$2:$AZ$19,8,FALSE)),"")</f>
        <v/>
      </c>
      <c r="C24" s="178" t="str">
        <f>IF($B$24="","","Height = Height")</f>
        <v/>
      </c>
      <c r="D24" s="179"/>
      <c r="E24" s="180" t="str">
        <f>IF(C24="","",$C$19)</f>
        <v/>
      </c>
      <c r="F24" s="181"/>
      <c r="G24" s="184" t="str">
        <f>IFERROR(IF($C$18="","",IF(VLOOKUP($C$18,$K$2:$U$9,11,FALSE)="","",VLOOKUP($C$18,$K$2:$U$9,11,FALSE))),"")</f>
        <v/>
      </c>
      <c r="H24" s="184"/>
      <c r="I24" s="35" t="str">
        <f>IF(A24="","",IF(I18="","",VLOOKUP(A24,$M$2:$V$9,10,FALSE)*I18))</f>
        <v/>
      </c>
    </row>
    <row r="25" spans="1:17" ht="15.75" customHeight="1" x14ac:dyDescent="0.25">
      <c r="A25" s="38" t="str">
        <f>IF('Order Form'!G12&lt;4.5,"",VLOOKUP('Order Form'!C12,'Cutting Sheet'!$K$1:$AW$9,36,FALSE))</f>
        <v/>
      </c>
      <c r="B25" s="37" t="str">
        <f>IFERROR(IF(A25="","",IF(VLOOKUP($C$18,$K$2:$AZ$19,37,FALSE)="","",VLOOKUP($C$18,$K$2:$AZ$19,37,FALSE))),"")</f>
        <v/>
      </c>
      <c r="C25" s="178" t="str">
        <f>IF(A25="","","Height -10")</f>
        <v/>
      </c>
      <c r="D25" s="179"/>
      <c r="E25" s="180" t="str">
        <f>IF(A25="","",C19-10)</f>
        <v/>
      </c>
      <c r="F25" s="181"/>
      <c r="G25" s="178"/>
      <c r="H25" s="179"/>
      <c r="I25" s="35" t="str">
        <f>IF(A25="","",ROUNDUP(I18/2,0))</f>
        <v/>
      </c>
    </row>
    <row r="26" spans="1:17" ht="15.75" customHeight="1" x14ac:dyDescent="0.25">
      <c r="A26" s="186" t="s">
        <v>3</v>
      </c>
      <c r="B26" s="189"/>
      <c r="C26" s="186"/>
      <c r="D26" s="186"/>
      <c r="E26" s="186"/>
      <c r="F26" s="186"/>
      <c r="G26" s="186"/>
      <c r="H26" s="186"/>
      <c r="I26" s="186"/>
    </row>
    <row r="27" spans="1:17" ht="15.75" customHeight="1" x14ac:dyDescent="0.25">
      <c r="A27" s="38" t="str">
        <f>IFERROR(IF(VLOOKUP($C$18,$K$2:$AZ$17,16,FALSE)="","",VLOOKUP($C$18,$K$2:$AZ$17,16,FALSE)),"")</f>
        <v/>
      </c>
      <c r="B27" s="37" t="str">
        <f>IFERROR(IF(VLOOKUP($C$18,$K$2:$AZ$19,20,FALSE)="","",VLOOKUP($C$18,$K$2:$AZ$19,20,FALSE)),"")</f>
        <v/>
      </c>
      <c r="C27" s="178" t="str">
        <f>IFERROR(IF($C$18="","",IF(VLOOKUP($C$18,$K$2:$AZ$9,21,FALSE)="","",VLOOKUP($C$18,$K$2:$AZ$9,21,FALSE))),"")</f>
        <v/>
      </c>
      <c r="D27" s="179"/>
      <c r="E27" s="180" t="str">
        <f>IFERROR(IF($C$18="","",IF(VLOOKUP($C$18,$K$2:$AZ$9,22,FALSE)="","",$E$19+VLOOKUP($C$18,$K$2:$AZ$9,22,FALSE))),"")</f>
        <v/>
      </c>
      <c r="F27" s="181"/>
      <c r="G27" s="178" t="str">
        <f>IFERROR(IF($C$18="","",IF(VLOOKUP($C$18,$K$2:$AZ$9,23,FALSE)="","",VLOOKUP($C$18,$K$2:$AZ$9,23,FALSE))),"")</f>
        <v/>
      </c>
      <c r="H27" s="179"/>
      <c r="I27" s="35" t="str">
        <f>IF(I18="","",IF(A27="","",IF($A$27=$Z$2,$I$18*2,$I$18)))</f>
        <v/>
      </c>
    </row>
    <row r="28" spans="1:17" ht="15.75" customHeight="1" x14ac:dyDescent="0.25">
      <c r="A28" s="38" t="str">
        <f>IFERROR(IF(VLOOKUP($C$18,$K$2:$AZ$17,17,FALSE)="","",VLOOKUP($C$18,$K$2:$AZ$17,17,FALSE)),"")</f>
        <v/>
      </c>
      <c r="B28" s="37" t="str">
        <f>IFERROR(IF(VLOOKUP($C$18,$K$2:$AZ$19,24,FALSE)="","",VLOOKUP($C$18,$K$2:$AZ$19,24,FALSE)),"")</f>
        <v/>
      </c>
      <c r="C28" s="178" t="str">
        <f>IFERROR(IF($C$18="","",IF(VLOOKUP($C$18,$K$2:$AZ$9,25,FALSE)="","",VLOOKUP($C$18,$K$2:$AZ$9,25,FALSE))),"")</f>
        <v/>
      </c>
      <c r="D28" s="179"/>
      <c r="E28" s="180" t="str">
        <f>IFERROR(IF($C$18="","",IF(VLOOKUP($C$18,$K$2:$AZ$9,26,FALSE)="","",$E$19+VLOOKUP($C$18,$K$2:$AZ$9,26,FALSE))),"")</f>
        <v/>
      </c>
      <c r="F28" s="181"/>
      <c r="G28" s="178" t="str">
        <f>IFERROR(IF($C$18="","",IF(VLOOKUP($C$18,$K$2:$AZ$9,27,FALSE)="","",VLOOKUP($C$18,$K$2:$AZ$9,27,FALSE))),"")</f>
        <v/>
      </c>
      <c r="H28" s="179"/>
      <c r="I28" s="35" t="str">
        <f>IF(I18="","",IF(A28="","",IF($A$27=$Z$2,IF($A$30=$AC$2,I27+(I30*2),$I$18*2),$I$18)))</f>
        <v/>
      </c>
    </row>
    <row r="29" spans="1:17" ht="15.75" customHeight="1" x14ac:dyDescent="0.25">
      <c r="A29" s="38" t="str">
        <f>IFERROR(IF(VLOOKUP($C$18,$K$2:$AZ$17,18,FALSE)="","",VLOOKUP($C$18,$K$2:$AZ$17,18,FALSE)),"")</f>
        <v/>
      </c>
      <c r="B29" s="37" t="str">
        <f>IFERROR(IF(VLOOKUP($C$18,$K$2:$AZ$19,28,FALSE)="","",VLOOKUP($C$18,$K$2:$AZ$19,28,FALSE)),"")</f>
        <v/>
      </c>
      <c r="C29" s="178" t="str">
        <f>IFERROR(IF($C$18="","",IF(VLOOKUP($C$18,$K$2:$AZ$9,29,FALSE)="","",VLOOKUP($C$18,$K$2:$AZ$9,29,FALSE))),"")</f>
        <v/>
      </c>
      <c r="D29" s="179"/>
      <c r="E29" s="180" t="str">
        <f>IFERROR(IF($C$18="","",IF(VLOOKUP($C$18,$K$2:$AZ$9,30,FALSE)="","",$E$19+VLOOKUP($C$18,$K$2:$AZ$9,30,FALSE))),"")</f>
        <v/>
      </c>
      <c r="F29" s="181"/>
      <c r="G29" s="178" t="str">
        <f>IFERROR(IF($C$18="","",IF(VLOOKUP($C$18,$K$2:$AZ$9,31,FALSE)="","",VLOOKUP($C$18,$K$2:$AZ$9,31,FALSE))),"")</f>
        <v/>
      </c>
      <c r="H29" s="179"/>
      <c r="I29" s="35" t="str">
        <f>IF(I18="","",IF(A29="","",IF($A$30=$AC$2,I28+I27+(I30*2),IF($A$27=$Z$2,$I$18*2,$I$18))))</f>
        <v/>
      </c>
    </row>
    <row r="30" spans="1:17" ht="15.75" customHeight="1" x14ac:dyDescent="0.25">
      <c r="A30" s="38" t="str">
        <f>IFERROR(IF(I19="","",IF(VLOOKUP($C$18,$K$2:$AZ$17,19,FALSE)="","",VLOOKUP($C$18,$K$2:$AZ$17,19,FALSE))),"")</f>
        <v/>
      </c>
      <c r="B30" s="37" t="str">
        <f>IFERROR(IF(A30="","",IF(VLOOKUP($C$18,$K$2:$AZ$19,32,FALSE)="","",VLOOKUP($C$18,$K$2:$AZ$19,32,FALSE))),"")</f>
        <v/>
      </c>
      <c r="C30" s="178" t="str">
        <f>IFERROR(IF(A30="","",IF($C$18="","",IF(VLOOKUP($C$18,$K$2:$AZ$9,33,FALSE)="","",VLOOKUP($C$18,$K$2:$AZ$9,33,FALSE)))),"")</f>
        <v/>
      </c>
      <c r="D30" s="179"/>
      <c r="E30" s="180" t="str">
        <f>IFERROR(IF(A30="","",IF($C$18="","",IF(VLOOKUP($C$18,$K$2:$AZ$9,34,FALSE)="","",$C$19+VLOOKUP($C$18,$K$2:$AZ$9,34,FALSE)))),"")</f>
        <v/>
      </c>
      <c r="F30" s="181"/>
      <c r="G30" s="178" t="str">
        <f>IFERROR(IF(A30="","",IF($C$18="","",IF(VLOOKUP($C$18,$K$2:$AZ$9,35,FALSE)="","",VLOOKUP($C$18,$K$2:$AZ$9,35,FALSE)))),"")</f>
        <v/>
      </c>
      <c r="H30" s="179"/>
      <c r="I30" s="35" t="str">
        <f>IF(I18="","",IF(A30="","",I19*I18))</f>
        <v/>
      </c>
    </row>
    <row r="31" spans="1:17" ht="15.75" customHeight="1" x14ac:dyDescent="0.25">
      <c r="A31" s="38" t="str">
        <f>IFERROR(IF(I20="","",IF(VLOOKUP($C18,$K$2:$AZ$17,40,FALSE)="","",VLOOKUP($C18,$K$2:$AZ$17,40,FALSE))),"?")</f>
        <v/>
      </c>
      <c r="B31" s="37" t="str">
        <f>IFERROR(IF(A31="","",IF(VLOOKUP($C18,$K$2:$AZ$19,41,FALSE)="","",VLOOKUP($C18,$K$2:$AZ$19,41,FALSE))),"?")</f>
        <v/>
      </c>
      <c r="C31" s="178" t="str">
        <f>IFERROR(IF(A31="","",IF($C18="","",IF(VLOOKUP($C18,$K$2:$AZ$9,42,FALSE)="","",VLOOKUP($C18,$K$2:$AZ$9,42,FALSE)))),"?")</f>
        <v/>
      </c>
      <c r="D31" s="179"/>
      <c r="E31" s="180" t="str">
        <f>IFERROR(IF(A31="","",IF($C18="","",IF(VLOOKUP($C18,$K$2:$BA$9,43,FALSE)="","",$E19+VLOOKUP($C18,$K$2:$BA$9,43,FALSE)))),"?")</f>
        <v/>
      </c>
      <c r="F31" s="181"/>
      <c r="G31" s="178" t="str">
        <f>IFERROR(IF(A31="","",IF($C$3="","",IF(VLOOKUP($C$3,$K$2:$AZ$9,35,FALSE)="","",VLOOKUP($C$3,$K$2:$AZ$9,35,FALSE)))),"?")</f>
        <v/>
      </c>
      <c r="H31" s="179"/>
      <c r="I31" s="35" t="str">
        <f>IF(I20="","",IF(A31="","",I18))</f>
        <v/>
      </c>
    </row>
    <row r="32" spans="1:17" ht="5.0999999999999996" customHeight="1" x14ac:dyDescent="0.25">
      <c r="I32" s="55"/>
    </row>
    <row r="33" spans="1:9" ht="15.75" customHeight="1" x14ac:dyDescent="0.25">
      <c r="A33" s="11" t="s">
        <v>40</v>
      </c>
      <c r="B33" s="11"/>
      <c r="C33" s="185" t="str">
        <f>IF('Order Form'!C13="","",'Order Form'!C13)</f>
        <v/>
      </c>
      <c r="D33" s="185"/>
      <c r="E33" s="185"/>
      <c r="F33" s="185"/>
      <c r="G33" s="185"/>
      <c r="H33" s="12" t="s">
        <v>107</v>
      </c>
      <c r="I33" s="54" t="str">
        <f>IF('Order Form'!D13="","",'Order Form'!D13)</f>
        <v/>
      </c>
    </row>
    <row r="34" spans="1:9" ht="15.75" x14ac:dyDescent="0.25">
      <c r="A34" s="11" t="s">
        <v>31</v>
      </c>
      <c r="B34" s="12" t="s">
        <v>24</v>
      </c>
      <c r="C34" s="43" t="str">
        <f>IF('Order Form'!E13="","",'Order Form'!E13)</f>
        <v/>
      </c>
      <c r="D34" s="12" t="s">
        <v>25</v>
      </c>
      <c r="E34" s="43" t="str">
        <f>IF('Order Form'!F13="","",'Order Form'!F13)</f>
        <v/>
      </c>
      <c r="F34" s="13"/>
      <c r="G34" s="39"/>
      <c r="H34" s="12" t="s">
        <v>108</v>
      </c>
      <c r="I34" s="43" t="str">
        <f>IF('Order Form'!I13="","",IF('Order Form'!I13=0,"",'Order Form'!I13))</f>
        <v/>
      </c>
    </row>
    <row r="35" spans="1:9" ht="15.75" x14ac:dyDescent="0.25">
      <c r="A35" s="11"/>
      <c r="B35" s="12"/>
      <c r="C35" s="130"/>
      <c r="D35" s="12"/>
      <c r="E35" s="130"/>
      <c r="F35" s="13"/>
      <c r="G35" s="11"/>
      <c r="H35" s="12" t="s">
        <v>225</v>
      </c>
      <c r="I35" s="131" t="str">
        <f>IF('Order Form'!J13=TRUE,"Yes","")</f>
        <v/>
      </c>
    </row>
    <row r="36" spans="1:9" ht="15.75" x14ac:dyDescent="0.25">
      <c r="A36" s="186" t="s">
        <v>2</v>
      </c>
      <c r="B36" s="186"/>
      <c r="C36" s="186"/>
      <c r="D36" s="186"/>
      <c r="E36" s="186"/>
      <c r="F36" s="186"/>
      <c r="G36" s="186"/>
      <c r="H36" s="186"/>
      <c r="I36" s="186"/>
    </row>
    <row r="37" spans="1:9" ht="15.75" thickBot="1" x14ac:dyDescent="0.3">
      <c r="A37" s="187" t="s">
        <v>26</v>
      </c>
      <c r="B37" s="188"/>
      <c r="C37" s="187" t="s">
        <v>27</v>
      </c>
      <c r="D37" s="188"/>
      <c r="E37" s="187" t="s">
        <v>28</v>
      </c>
      <c r="F37" s="188"/>
      <c r="G37" s="187" t="s">
        <v>106</v>
      </c>
      <c r="H37" s="188"/>
      <c r="I37" s="34" t="s">
        <v>38</v>
      </c>
    </row>
    <row r="38" spans="1:9" ht="16.5" thickTop="1" x14ac:dyDescent="0.25">
      <c r="A38" s="38" t="str">
        <f>IFERROR(IF(VLOOKUP($C$33,$K$2:$AZ$17,2,FALSE)="","",VLOOKUP($C$33,$K$2:$AZ$17,2,FALSE)),"")</f>
        <v/>
      </c>
      <c r="B38" s="37" t="str">
        <f>IFERROR(IF(VLOOKUP($C$33,$K$2:$AZ$19,4,FALSE)="","",VLOOKUP($C$33,$K$2:$AZ$19,4,FALSE)),"")</f>
        <v/>
      </c>
      <c r="C38" s="178" t="str">
        <f>IF($B$38="","","Height = Height")</f>
        <v/>
      </c>
      <c r="D38" s="179"/>
      <c r="E38" s="180" t="str">
        <f>IF(C38="","",$C$34)</f>
        <v/>
      </c>
      <c r="F38" s="181"/>
      <c r="G38" s="182" t="str">
        <f>IFERROR(IF($C$33="","",IF(VLOOKUP($C$33,$K$2:$U$9,7,FALSE)="","",VLOOKUP($C$33,$K$2:$U$9,7,FALSE))),"")</f>
        <v/>
      </c>
      <c r="H38" s="183"/>
      <c r="I38" s="117" t="str">
        <f>IF(A38="","",IF(I33="","",VLOOKUP(C33,$K$2:$V$9,12,FALSE)*I33))</f>
        <v/>
      </c>
    </row>
    <row r="39" spans="1:9" ht="15.75" x14ac:dyDescent="0.25">
      <c r="A39" s="38" t="str">
        <f>IFERROR(IF(VLOOKUP($C$33,$K$2:$AZ$17,3,FALSE)="","",VLOOKUP($C$33,$K$2:$AZ$17,3,FALSE)),"")</f>
        <v/>
      </c>
      <c r="B39" s="37" t="str">
        <f>IFERROR(IF(VLOOKUP($C$33,$K$2:$AZ$19,8,FALSE)="","",VLOOKUP($C$33,$K$2:$AZ$19,8,FALSE)),"")</f>
        <v/>
      </c>
      <c r="C39" s="178" t="str">
        <f>IF($B$39="","","Height = Height")</f>
        <v/>
      </c>
      <c r="D39" s="179"/>
      <c r="E39" s="180" t="str">
        <f>IF(C39="","",$C$34)</f>
        <v/>
      </c>
      <c r="F39" s="181"/>
      <c r="G39" s="184" t="str">
        <f>IFERROR(IF($C$33="","",IF(VLOOKUP($C$33,$K$2:$U$9,11,FALSE)="","",VLOOKUP($C$33,$K$2:$U$9,11,FALSE))),"")</f>
        <v/>
      </c>
      <c r="H39" s="184"/>
      <c r="I39" s="35" t="str">
        <f>IF(A39="","",IF(I33="","",VLOOKUP(A39,$M$2:$V$9,10,FALSE)*I33))</f>
        <v/>
      </c>
    </row>
    <row r="40" spans="1:9" ht="15.75" x14ac:dyDescent="0.25">
      <c r="A40" s="38" t="str">
        <f>IF('Order Form'!G13&lt;4.5,"",VLOOKUP('Order Form'!C13,'Cutting Sheet'!$K$1:$AW$9,36,FALSE))</f>
        <v/>
      </c>
      <c r="B40" s="37" t="str">
        <f>IFERROR(IF(A40="","",IF(VLOOKUP($C$33,$K$2:$AZ$19,37,FALSE)="","",VLOOKUP($C$33,$K$2:$AZ$19,37,FALSE))),"")</f>
        <v/>
      </c>
      <c r="C40" s="178" t="str">
        <f>IF(A40="","","Height -10")</f>
        <v/>
      </c>
      <c r="D40" s="179"/>
      <c r="E40" s="180" t="str">
        <f>IF(A40="","",C34-10)</f>
        <v/>
      </c>
      <c r="F40" s="181"/>
      <c r="G40" s="178"/>
      <c r="H40" s="179"/>
      <c r="I40" s="35" t="str">
        <f>IF(A40="","",ROUNDUP(I33/2,0))</f>
        <v/>
      </c>
    </row>
    <row r="41" spans="1:9" ht="15.75" x14ac:dyDescent="0.25">
      <c r="A41" s="186" t="s">
        <v>3</v>
      </c>
      <c r="B41" s="189"/>
      <c r="C41" s="186"/>
      <c r="D41" s="186"/>
      <c r="E41" s="186"/>
      <c r="F41" s="186"/>
      <c r="G41" s="186"/>
      <c r="H41" s="186"/>
      <c r="I41" s="186"/>
    </row>
    <row r="42" spans="1:9" ht="15.75" x14ac:dyDescent="0.25">
      <c r="A42" s="38" t="str">
        <f>IFERROR(IF(VLOOKUP($C$33,$K$2:$AZ$17,16,FALSE)="","",VLOOKUP($C$33,$K$2:$AZ$17,16,FALSE)),"")</f>
        <v/>
      </c>
      <c r="B42" s="37" t="str">
        <f>IFERROR(IF(VLOOKUP($C$33,$K$2:$AZ$19,20,FALSE)="","",VLOOKUP($C$33,$K$2:$AZ$19,20,FALSE)),"")</f>
        <v/>
      </c>
      <c r="C42" s="178" t="str">
        <f>IFERROR(IF($C$33="","",IF(VLOOKUP($C$3,$K$2:$AZ$9,21,FALSE)="","",VLOOKUP($C$33,$K$2:$AZ$9,21,FALSE))),"")</f>
        <v/>
      </c>
      <c r="D42" s="179"/>
      <c r="E42" s="180" t="str">
        <f>IFERROR(IF($C$33="","",IF(VLOOKUP($C$33,$K$2:$AZ$9,22,FALSE)="","",$E$34+VLOOKUP($C$33,$K$2:$AZ$9,22,FALSE))),"")</f>
        <v/>
      </c>
      <c r="F42" s="181"/>
      <c r="G42" s="178" t="str">
        <f>IFERROR(IF($C$33="","",IF(VLOOKUP($C$33,$K$2:$AZ$9,23,FALSE)="","",VLOOKUP($C$33,$K$2:$AZ$9,23,FALSE))),"")</f>
        <v/>
      </c>
      <c r="H42" s="179"/>
      <c r="I42" s="35" t="str">
        <f>IF(I33="","",IF(A42="","",IF($A$42=$Z$2,$I$33*2,$I$33)))</f>
        <v/>
      </c>
    </row>
    <row r="43" spans="1:9" ht="15.75" x14ac:dyDescent="0.25">
      <c r="A43" s="38" t="str">
        <f>IFERROR(IF(VLOOKUP($C$33,$K$2:$AZ$17,17,FALSE)="","",VLOOKUP($C$33,$K$2:$AZ$17,17,FALSE)),"")</f>
        <v/>
      </c>
      <c r="B43" s="37" t="str">
        <f>IFERROR(IF(VLOOKUP($C$33,$K$2:$AZ$19,24,FALSE)="","",VLOOKUP($C$33,$K$2:$AZ$19,24,FALSE)),"")</f>
        <v/>
      </c>
      <c r="C43" s="178" t="str">
        <f>IFERROR(IF($C$33="","",IF(VLOOKUP($C$33,$K$2:$AZ$9,25,FALSE)="","",VLOOKUP($C$33,$K$2:$AZ$9,25,FALSE))),"")</f>
        <v/>
      </c>
      <c r="D43" s="179"/>
      <c r="E43" s="180" t="str">
        <f>IFERROR(IF($C$33="","",IF(VLOOKUP($C$33,$K$2:$AZ$9,26,FALSE)="","",$E$34+VLOOKUP($C$33,$K$2:$AZ$9,26,FALSE))),"")</f>
        <v/>
      </c>
      <c r="F43" s="181"/>
      <c r="G43" s="178" t="str">
        <f>IFERROR(IF($C$33="","",IF(VLOOKUP($C$33,$K$2:$AZ$9,27,FALSE)="","",VLOOKUP($C$33,$K$2:$AZ$9,27,FALSE))),"")</f>
        <v/>
      </c>
      <c r="H43" s="179"/>
      <c r="I43" s="35" t="str">
        <f>IF(I33="","",IF(A43="","",IF($A$42=$Z$2,IF($A$45=$AC$2,I42+(I45*2),$I$33*2),$I$33)))</f>
        <v/>
      </c>
    </row>
    <row r="44" spans="1:9" ht="15.75" x14ac:dyDescent="0.25">
      <c r="A44" s="38" t="str">
        <f>IFERROR(IF(VLOOKUP($C$33,$K$2:$AZ$17,18,FALSE)="","",VLOOKUP($C$33,$K$2:$AZ$17,18,FALSE)),"")</f>
        <v/>
      </c>
      <c r="B44" s="37" t="str">
        <f>IFERROR(IF(VLOOKUP($C$33,$K$2:$AZ$19,28,FALSE)="","",VLOOKUP($C$33,$K$2:$AZ$19,28,FALSE)),"")</f>
        <v/>
      </c>
      <c r="C44" s="178" t="str">
        <f>IFERROR(IF($C$33="","",IF(VLOOKUP($C$33,$K$2:$AZ$9,29,FALSE)="","",VLOOKUP($C$33,$K$2:$AZ$9,29,FALSE))),"")</f>
        <v/>
      </c>
      <c r="D44" s="179"/>
      <c r="E44" s="180" t="str">
        <f>IFERROR(IF($C$33="","",IF(VLOOKUP($C$33,$K$2:$AZ$9,30,FALSE)="","",$E$34+VLOOKUP($C$33,$K$2:$AZ$9,30,FALSE))),"")</f>
        <v/>
      </c>
      <c r="F44" s="181"/>
      <c r="G44" s="178" t="str">
        <f>IFERROR(IF($C$33="","",IF(VLOOKUP($C$33,$K$2:$AZ$9,31,FALSE)="","",VLOOKUP($C$33,$K$2:$AZ$9,31,FALSE))),"")</f>
        <v/>
      </c>
      <c r="H44" s="179"/>
      <c r="I44" s="35" t="str">
        <f>IF(I33="","",IF(A44="","",IF($A$45=$AC$2,I43+I42+(I45*2),IF($A$42=$Z$2,$I$33*2,$I$33))))</f>
        <v/>
      </c>
    </row>
    <row r="45" spans="1:9" ht="15.75" x14ac:dyDescent="0.25">
      <c r="A45" s="38" t="str">
        <f>IFERROR(IF(I34="","",IF(VLOOKUP($C$33,$K$2:$AZ$17,19,FALSE)="","",VLOOKUP($C$33,$K$2:$AZ$17,19,FALSE))),"")</f>
        <v/>
      </c>
      <c r="B45" s="37" t="str">
        <f>IFERROR(IF(A45="","",IF(VLOOKUP($C$33,$K$2:$AZ$19,32,FALSE)="","",VLOOKUP($C$33,$K$2:$AZ$19,32,FALSE))),"")</f>
        <v/>
      </c>
      <c r="C45" s="178" t="str">
        <f>IFERROR(IF(A45="","",IF($C$33="","",IF(VLOOKUP($C$33,$K$2:$AZ$9,33,FALSE)="","",VLOOKUP($C$33,$K$2:$AZ$9,33,FALSE)))),"")</f>
        <v/>
      </c>
      <c r="D45" s="179"/>
      <c r="E45" s="180" t="str">
        <f>IFERROR(IF(A45="","",IF($C$33="","",IF(VLOOKUP($C$33,$K$2:$AZ$9,34,FALSE)="","",$E$34+VLOOKUP($C$33,$K$2:$AZ$9,34,FALSE)))),"")</f>
        <v/>
      </c>
      <c r="F45" s="181"/>
      <c r="G45" s="178" t="str">
        <f>IFERROR(IF(A45="","",IF($C$33="","",IF(VLOOKUP($C$33,$K$2:$AZ$9,35,FALSE)="","",VLOOKUP($C$33,$K$2:$AZ$9,35,FALSE)))),"")</f>
        <v/>
      </c>
      <c r="H45" s="179"/>
      <c r="I45" s="35" t="str">
        <f>IF(I33="","",IF(A45="","",I34*I33))</f>
        <v/>
      </c>
    </row>
    <row r="46" spans="1:9" ht="15.75" x14ac:dyDescent="0.25">
      <c r="A46" s="38" t="str">
        <f>IFERROR(IF(I35="","",IF(VLOOKUP($C33,$K$2:$AZ$17,40,FALSE)="","",VLOOKUP($C33,$K$2:$AZ$17,40,FALSE))),"?")</f>
        <v/>
      </c>
      <c r="B46" s="37" t="str">
        <f>IFERROR(IF(A46="","",IF(VLOOKUP($C33,$K$2:$AZ$19,41,FALSE)="","",VLOOKUP($C33,$K$2:$AZ$19,41,FALSE))),"?")</f>
        <v/>
      </c>
      <c r="C46" s="178" t="str">
        <f>IFERROR(IF(A46="","",IF($C33="","",IF(VLOOKUP($C33,$K$2:$AZ$9,42,FALSE)="","",VLOOKUP($C33,$K$2:$AZ$9,42,FALSE)))),"?")</f>
        <v/>
      </c>
      <c r="D46" s="179"/>
      <c r="E46" s="180" t="str">
        <f>IFERROR(IF(A46="","",IF($C33="","",IF(VLOOKUP($C33,$K$2:$BA$9,43,FALSE)="","",$E34+VLOOKUP($C33,$K$2:$BA$9,43,FALSE)))),"?")</f>
        <v/>
      </c>
      <c r="F46" s="181"/>
      <c r="G46" s="178" t="str">
        <f>IFERROR(IF(A46="","",IF($C$3="","",IF(VLOOKUP($C$3,$K$2:$AZ$9,35,FALSE)="","",VLOOKUP($C$3,$K$2:$AZ$9,35,FALSE)))),"?")</f>
        <v/>
      </c>
      <c r="H46" s="179"/>
      <c r="I46" s="35" t="str">
        <f>IF(I35="","",IF(A46="","",I33))</f>
        <v/>
      </c>
    </row>
    <row r="47" spans="1:9" ht="5.0999999999999996" customHeight="1" x14ac:dyDescent="0.25">
      <c r="I47" s="55"/>
    </row>
    <row r="48" spans="1:9" ht="15.75" x14ac:dyDescent="0.25">
      <c r="A48" s="11" t="s">
        <v>40</v>
      </c>
      <c r="B48" s="11"/>
      <c r="C48" s="185" t="str">
        <f>IF('Order Form'!C14="","",'Order Form'!C14)</f>
        <v/>
      </c>
      <c r="D48" s="185"/>
      <c r="E48" s="185"/>
      <c r="F48" s="185"/>
      <c r="G48" s="185"/>
      <c r="H48" s="12" t="s">
        <v>107</v>
      </c>
      <c r="I48" s="54" t="str">
        <f>IF('Order Form'!D14="","",'Order Form'!D14)</f>
        <v/>
      </c>
    </row>
    <row r="49" spans="1:9" ht="15.75" x14ac:dyDescent="0.25">
      <c r="A49" s="11" t="s">
        <v>31</v>
      </c>
      <c r="B49" s="12" t="s">
        <v>24</v>
      </c>
      <c r="C49" s="43" t="str">
        <f>IF('Order Form'!E14="","",'Order Form'!E14)</f>
        <v/>
      </c>
      <c r="D49" s="12" t="s">
        <v>25</v>
      </c>
      <c r="E49" s="43" t="str">
        <f>IF('Order Form'!F14="","",'Order Form'!F14)</f>
        <v/>
      </c>
      <c r="F49" s="13"/>
      <c r="G49" s="39"/>
      <c r="H49" s="12" t="s">
        <v>108</v>
      </c>
      <c r="I49" s="43" t="str">
        <f>IF('Order Form'!I14="","",IF('Order Form'!I14=0,"",'Order Form'!I14))</f>
        <v/>
      </c>
    </row>
    <row r="50" spans="1:9" ht="15.75" x14ac:dyDescent="0.25">
      <c r="A50" s="11"/>
      <c r="B50" s="12"/>
      <c r="C50" s="129"/>
      <c r="D50" s="12"/>
      <c r="E50" s="129"/>
      <c r="F50" s="13"/>
      <c r="G50" s="11"/>
      <c r="H50" s="12" t="s">
        <v>225</v>
      </c>
      <c r="I50" s="131" t="str">
        <f>IF('Order Form'!J14=TRUE,"Yes","")</f>
        <v/>
      </c>
    </row>
    <row r="51" spans="1:9" ht="15.75" x14ac:dyDescent="0.25">
      <c r="A51" s="186" t="s">
        <v>2</v>
      </c>
      <c r="B51" s="186"/>
      <c r="C51" s="186"/>
      <c r="D51" s="186"/>
      <c r="E51" s="186"/>
      <c r="F51" s="186"/>
      <c r="G51" s="186"/>
      <c r="H51" s="186"/>
      <c r="I51" s="186"/>
    </row>
    <row r="52" spans="1:9" ht="15.75" thickBot="1" x14ac:dyDescent="0.3">
      <c r="A52" s="187" t="s">
        <v>26</v>
      </c>
      <c r="B52" s="188"/>
      <c r="C52" s="187" t="s">
        <v>27</v>
      </c>
      <c r="D52" s="188"/>
      <c r="E52" s="187" t="s">
        <v>28</v>
      </c>
      <c r="F52" s="188"/>
      <c r="G52" s="187" t="s">
        <v>106</v>
      </c>
      <c r="H52" s="188"/>
      <c r="I52" s="34" t="s">
        <v>38</v>
      </c>
    </row>
    <row r="53" spans="1:9" ht="16.5" thickTop="1" x14ac:dyDescent="0.25">
      <c r="A53" s="38" t="str">
        <f>IFERROR(IF(VLOOKUP($C$48,$K$2:$AZ$17,2,FALSE)="","",VLOOKUP($C$48,$K$2:$AZ$17,2,FALSE)),"")</f>
        <v/>
      </c>
      <c r="B53" s="37" t="str">
        <f>IFERROR(IF(VLOOKUP($C$48,$K$2:$AZ$19,4,FALSE)="","",VLOOKUP($C$48,$K$2:$AZ$19,4,FALSE)),"")</f>
        <v/>
      </c>
      <c r="C53" s="178" t="str">
        <f>IF($B$53="","","Height = Height")</f>
        <v/>
      </c>
      <c r="D53" s="179"/>
      <c r="E53" s="180" t="str">
        <f>IF(C53="","",$C$49)</f>
        <v/>
      </c>
      <c r="F53" s="181"/>
      <c r="G53" s="182" t="str">
        <f>IFERROR(IF($C$48="","",IF(VLOOKUP($C$48,$K$2:$U$9,7,FALSE)="","",VLOOKUP($C$48,$K$2:$U$9,7,FALSE))),"")</f>
        <v/>
      </c>
      <c r="H53" s="183"/>
      <c r="I53" s="117" t="str">
        <f>IF(A53="","",IF(I48="","",VLOOKUP(C48,$K$2:$V$9,12,FALSE)*I48))</f>
        <v/>
      </c>
    </row>
    <row r="54" spans="1:9" ht="15.75" x14ac:dyDescent="0.25">
      <c r="A54" s="38" t="str">
        <f>IFERROR(IF(VLOOKUP($C$48,$K$2:$AZ$17,3,FALSE)="","",VLOOKUP($C$48,$K$2:$AZ$17,3,FALSE)),"")</f>
        <v/>
      </c>
      <c r="B54" s="37" t="str">
        <f>IFERROR(IF(VLOOKUP($C$48,$K$2:$AZ$19,8,FALSE)="","",VLOOKUP($C$48,$K$2:$AZ$19,8,FALSE)),"")</f>
        <v/>
      </c>
      <c r="C54" s="178" t="str">
        <f>IF($B$54="","","Height = Height")</f>
        <v/>
      </c>
      <c r="D54" s="179"/>
      <c r="E54" s="180" t="str">
        <f>IF(C54="","",$C$49)</f>
        <v/>
      </c>
      <c r="F54" s="181"/>
      <c r="G54" s="184" t="str">
        <f>IFERROR(IF($C$48="","",IF(VLOOKUP($C$48,$K$2:$U$9,11,FALSE)="","",VLOOKUP($C$48,$K$2:$U$9,11,FALSE))),"")</f>
        <v/>
      </c>
      <c r="H54" s="184"/>
      <c r="I54" s="35" t="str">
        <f>IF(A54="","",IF(I48="","",VLOOKUP(A54,$M$2:$V$9,10,FALSE)*I48))</f>
        <v/>
      </c>
    </row>
    <row r="55" spans="1:9" ht="15.75" x14ac:dyDescent="0.25">
      <c r="A55" s="38" t="str">
        <f>IF('Order Form'!G14&lt;4.5,"",VLOOKUP('Order Form'!C14,'Cutting Sheet'!$K$1:$AW$9,36,FALSE))</f>
        <v/>
      </c>
      <c r="B55" s="37" t="str">
        <f>IFERROR(IF(A55="","",IF(VLOOKUP($C$48,$K$2:$AZ$19,37,FALSE)="","",VLOOKUP($C$48,$K$2:$AZ$19,37,FALSE))),"")</f>
        <v/>
      </c>
      <c r="C55" s="178" t="str">
        <f>IF(A55="","","Height -10")</f>
        <v/>
      </c>
      <c r="D55" s="179"/>
      <c r="E55" s="180" t="str">
        <f>IF(A55="","",C49-10)</f>
        <v/>
      </c>
      <c r="F55" s="181"/>
      <c r="G55" s="178"/>
      <c r="H55" s="179"/>
      <c r="I55" s="35" t="str">
        <f>IF(A55="","",ROUNDUP(I48/2,0))</f>
        <v/>
      </c>
    </row>
    <row r="56" spans="1:9" ht="15.75" x14ac:dyDescent="0.25">
      <c r="A56" s="186" t="s">
        <v>3</v>
      </c>
      <c r="B56" s="189"/>
      <c r="C56" s="186"/>
      <c r="D56" s="186"/>
      <c r="E56" s="186"/>
      <c r="F56" s="186"/>
      <c r="G56" s="186"/>
      <c r="H56" s="186"/>
      <c r="I56" s="186"/>
    </row>
    <row r="57" spans="1:9" ht="15.75" x14ac:dyDescent="0.25">
      <c r="A57" s="38" t="str">
        <f>IFERROR(IF(VLOOKUP($C$48,$K$2:$AZ$17,16,FALSE)="","",VLOOKUP($C$48,$K$2:$AZ$17,16,FALSE)),"")</f>
        <v/>
      </c>
      <c r="B57" s="37" t="str">
        <f>IFERROR(IF(VLOOKUP($C$48,$K$2:$AZ$19,20,FALSE)="","",VLOOKUP($C$48,$K$2:$AZ$19,20,FALSE)),"")</f>
        <v/>
      </c>
      <c r="C57" s="178" t="str">
        <f>IFERROR(IF($C$48="","",IF(VLOOKUP($C$48,$K$2:$AZ$9,21,FALSE)="","",VLOOKUP($C$48,$K$2:$AZ$9,21,FALSE))),"")</f>
        <v/>
      </c>
      <c r="D57" s="179"/>
      <c r="E57" s="180" t="str">
        <f>IFERROR(IF($C$48="","",IF(VLOOKUP($C$48,$K$2:$AZ$9,22,FALSE)="","",$E$49+VLOOKUP($C$48,$K$2:$AZ$9,22,FALSE))),"")</f>
        <v/>
      </c>
      <c r="F57" s="181"/>
      <c r="G57" s="178" t="str">
        <f>IFERROR(IF($C$48="","",IF(VLOOKUP($C$48,$K$2:$AZ$9,23,FALSE)="","",VLOOKUP($C$48,$K$2:$AZ$9,23,FALSE))),"")</f>
        <v/>
      </c>
      <c r="H57" s="179"/>
      <c r="I57" s="35" t="str">
        <f>IF(I48="","",IF(A57="","",IF(A57=$Z$2,I48*2,I48)))</f>
        <v/>
      </c>
    </row>
    <row r="58" spans="1:9" ht="15.75" x14ac:dyDescent="0.25">
      <c r="A58" s="38" t="str">
        <f>IFERROR(IF(VLOOKUP($C$48,$K$2:$AZ$17,17,FALSE)="","",VLOOKUP($C$48,$K$2:$AZ$17,17,FALSE)),"")</f>
        <v/>
      </c>
      <c r="B58" s="37" t="str">
        <f>IFERROR(IF(VLOOKUP($C$48,$K$2:$AZ$19,24,FALSE)="","",VLOOKUP($C$48,$K$2:$AZ$19,24,FALSE)),"")</f>
        <v/>
      </c>
      <c r="C58" s="178" t="str">
        <f>IFERROR(IF($C$48="","",IF(VLOOKUP($C$48,$K$2:$AZ$9,25,FALSE)="","",VLOOKUP($C$48,$K$2:$AZ$9,25,FALSE))),"")</f>
        <v/>
      </c>
      <c r="D58" s="179"/>
      <c r="E58" s="180" t="str">
        <f>IFERROR(IF($C$48="","",IF(VLOOKUP($C$48,$K$2:$AZ$9,26,FALSE)="","",$E$49+VLOOKUP($C$48,$K$2:$AZ$9,26,FALSE))),"")</f>
        <v/>
      </c>
      <c r="F58" s="181"/>
      <c r="G58" s="178" t="str">
        <f>IFERROR(IF($C$48="","",IF(VLOOKUP($C$48,$K$2:$AZ$9,27,FALSE)="","",VLOOKUP($C$48,$K$2:$AZ$9,27,FALSE))),"")</f>
        <v/>
      </c>
      <c r="H58" s="179"/>
      <c r="I58" s="35" t="str">
        <f>IF(I48="","",IF(A58="","",IF(A57=$Z$2,IF(A60=$AC$2,I57+(I60*2),I48*2),I48)))</f>
        <v/>
      </c>
    </row>
    <row r="59" spans="1:9" ht="15.75" x14ac:dyDescent="0.25">
      <c r="A59" s="38" t="str">
        <f>IFERROR(IF(VLOOKUP($C$48,$K$2:$AZ$17,18,FALSE)="","",VLOOKUP($C$48,$K$2:$AZ$17,18,FALSE)),"")</f>
        <v/>
      </c>
      <c r="B59" s="37" t="str">
        <f>IFERROR(IF(VLOOKUP($C$48,$K$2:$AZ$19,28,FALSE)="","",VLOOKUP($C$48,$K$2:$AZ$19,28,FALSE)),"")</f>
        <v/>
      </c>
      <c r="C59" s="178" t="str">
        <f>IFERROR(IF($C$48="","",IF(VLOOKUP($C$48,$K$2:$AZ$9,29,FALSE)="","",VLOOKUP($C$48,$K$2:$AZ$9,29,FALSE))),"")</f>
        <v/>
      </c>
      <c r="D59" s="179"/>
      <c r="E59" s="180" t="str">
        <f>IFERROR(IF($C$48="","",IF(VLOOKUP($C$48,$K$2:$AZ$9,30,FALSE)="","",$E$49+VLOOKUP($C$48,$K$2:$AZ$9,30,FALSE))),"")</f>
        <v/>
      </c>
      <c r="F59" s="181"/>
      <c r="G59" s="178" t="str">
        <f>IFERROR(IF($C$48="","",IF(VLOOKUP($C$48,$K$2:$AZ$9,31,FALSE)="","",VLOOKUP($C$48,$K$2:$AZ$9,31,FALSE))),"")</f>
        <v/>
      </c>
      <c r="H59" s="179"/>
      <c r="I59" s="35" t="str">
        <f>IF(I48="","",IF(A59="","",IF(A60=$AC$2,I58+I57+(I60*2),IF(A57=$Z$2,I48*2,I48))))</f>
        <v/>
      </c>
    </row>
    <row r="60" spans="1:9" ht="15.75" x14ac:dyDescent="0.25">
      <c r="A60" s="38" t="str">
        <f>IFERROR(IF(I49="","",IF(VLOOKUP($C$48,$K$2:$AZ$17,19,FALSE)="","",VLOOKUP($C$48,$K$2:$AZ$17,19,FALSE))),"")</f>
        <v/>
      </c>
      <c r="B60" s="37" t="str">
        <f>IFERROR(IF(A60="","",IF(VLOOKUP($C$48,$K$2:$AZ$19,32,FALSE)="","",VLOOKUP($C$48,$K$2:$AZ$19,32,FALSE))),"")</f>
        <v/>
      </c>
      <c r="C60" s="178" t="str">
        <f>IFERROR(IF(A60="","",IF($C$48="","",IF(VLOOKUP($C$48,$K$2:$AZ$9,33,FALSE)="","",VLOOKUP($C$48,$K$2:$AZ$9,33,FALSE)))),"")</f>
        <v/>
      </c>
      <c r="D60" s="179"/>
      <c r="E60" s="180" t="str">
        <f>IFERROR(IF(A60="","",IF($C$48="","",IF(VLOOKUP($C$48,$K$2:$AZ$9,34,FALSE)="","",$E$49+VLOOKUP($C$48,$K$2:$AZ$9,34,FALSE)))),"")</f>
        <v/>
      </c>
      <c r="F60" s="181"/>
      <c r="G60" s="178" t="str">
        <f>IFERROR(IF(A60="","",IF($C$48="","",IF(VLOOKUP($C$48,$K$2:$AZ$9,35,FALSE)="","",VLOOKUP($C$48,$K$2:$AZ$9,35,FALSE)))),"")</f>
        <v/>
      </c>
      <c r="H60" s="179"/>
      <c r="I60" s="35" t="str">
        <f>IF(I48="","",IF(A60="","",I49*I48))</f>
        <v/>
      </c>
    </row>
    <row r="61" spans="1:9" ht="15.75" x14ac:dyDescent="0.25">
      <c r="A61" s="38" t="str">
        <f>IFERROR(IF(I50="","",IF(VLOOKUP($C48,$K$2:$AZ$17,40,FALSE)="","",VLOOKUP($C48,$K$2:$AZ$17,40,FALSE))),"?")</f>
        <v/>
      </c>
      <c r="B61" s="37" t="str">
        <f>IFERROR(IF(A61="","",IF(VLOOKUP($C48,$K$2:$AZ$19,41,FALSE)="","",VLOOKUP($C48,$K$2:$AZ$19,41,FALSE))),"?")</f>
        <v/>
      </c>
      <c r="C61" s="178" t="str">
        <f>IFERROR(IF(A61="","",IF($C48="","",IF(VLOOKUP($C48,$K$2:$AZ$9,42,FALSE)="","",VLOOKUP($C48,$K$2:$AZ$9,42,FALSE)))),"?")</f>
        <v/>
      </c>
      <c r="D61" s="179"/>
      <c r="E61" s="180" t="str">
        <f>IFERROR(IF(A61="","",IF($C48="","",IF(VLOOKUP($C48,$K$2:$BA$9,43,FALSE)="","",$E49+VLOOKUP($C48,$K$2:$BA$9,43,FALSE)))),"?")</f>
        <v/>
      </c>
      <c r="F61" s="181"/>
      <c r="G61" s="178" t="str">
        <f>IFERROR(IF(A61="","",IF($C$3="","",IF(VLOOKUP($C$3,$K$2:$AZ$9,35,FALSE)="","",VLOOKUP($C$3,$K$2:$AZ$9,35,FALSE)))),"?")</f>
        <v/>
      </c>
      <c r="H61" s="179"/>
      <c r="I61" s="35" t="str">
        <f>IF(I50="","",IF(A61="","",I48))</f>
        <v/>
      </c>
    </row>
    <row r="62" spans="1:9" ht="5.0999999999999996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</row>
    <row r="63" spans="1:9" ht="15.75" x14ac:dyDescent="0.25">
      <c r="A63" s="11" t="s">
        <v>40</v>
      </c>
      <c r="B63" s="11"/>
      <c r="C63" s="185" t="str">
        <f>IF('Order Form'!C15="","",'Order Form'!C15)</f>
        <v/>
      </c>
      <c r="D63" s="185"/>
      <c r="E63" s="185"/>
      <c r="F63" s="185"/>
      <c r="G63" s="185"/>
      <c r="H63" s="12" t="s">
        <v>107</v>
      </c>
      <c r="I63" s="54" t="str">
        <f>IF('Order Form'!D15="","",'Order Form'!D15)</f>
        <v/>
      </c>
    </row>
    <row r="64" spans="1:9" ht="15.75" x14ac:dyDescent="0.25">
      <c r="A64" s="11" t="s">
        <v>31</v>
      </c>
      <c r="B64" s="12" t="s">
        <v>24</v>
      </c>
      <c r="C64" s="43" t="str">
        <f>IF('Order Form'!E15="","",'Order Form'!E15)</f>
        <v/>
      </c>
      <c r="D64" s="12" t="s">
        <v>25</v>
      </c>
      <c r="E64" s="43" t="str">
        <f>IF('Order Form'!F15="","",'Order Form'!F15)</f>
        <v/>
      </c>
      <c r="F64" s="13"/>
      <c r="G64" s="39"/>
      <c r="H64" s="12" t="s">
        <v>108</v>
      </c>
      <c r="I64" s="43" t="str">
        <f>IF('Order Form'!I15="","",IF('Order Form'!I15=0,"",'Order Form'!I15))</f>
        <v/>
      </c>
    </row>
    <row r="65" spans="1:9" ht="15.75" x14ac:dyDescent="0.25">
      <c r="A65" s="11"/>
      <c r="B65" s="12"/>
      <c r="C65" s="129"/>
      <c r="D65" s="12"/>
      <c r="E65" s="129"/>
      <c r="F65" s="13"/>
      <c r="G65" s="11"/>
      <c r="H65" s="12" t="s">
        <v>225</v>
      </c>
      <c r="I65" s="131" t="str">
        <f>IF('Order Form'!J15=TRUE,"Yes","")</f>
        <v/>
      </c>
    </row>
    <row r="66" spans="1:9" ht="15.75" x14ac:dyDescent="0.25">
      <c r="A66" s="186" t="s">
        <v>2</v>
      </c>
      <c r="B66" s="186"/>
      <c r="C66" s="186"/>
      <c r="D66" s="186"/>
      <c r="E66" s="186"/>
      <c r="F66" s="186"/>
      <c r="G66" s="186"/>
      <c r="H66" s="186"/>
      <c r="I66" s="186"/>
    </row>
    <row r="67" spans="1:9" ht="15.75" thickBot="1" x14ac:dyDescent="0.3">
      <c r="A67" s="187" t="s">
        <v>26</v>
      </c>
      <c r="B67" s="188"/>
      <c r="C67" s="187" t="s">
        <v>27</v>
      </c>
      <c r="D67" s="188"/>
      <c r="E67" s="187" t="s">
        <v>28</v>
      </c>
      <c r="F67" s="188"/>
      <c r="G67" s="187" t="s">
        <v>106</v>
      </c>
      <c r="H67" s="188"/>
      <c r="I67" s="34" t="s">
        <v>38</v>
      </c>
    </row>
    <row r="68" spans="1:9" ht="16.5" thickTop="1" x14ac:dyDescent="0.25">
      <c r="A68" s="38" t="str">
        <f>IFERROR(IF(VLOOKUP(C63,$K$2:$AZ$17,2,FALSE)="","",VLOOKUP(C63,$K$2:$AZ$17,2,FALSE)),"")</f>
        <v/>
      </c>
      <c r="B68" s="37" t="str">
        <f>IFERROR(IF(VLOOKUP(C63,$K$2:$AZ$19,4,FALSE)="","",VLOOKUP(C63,$K$2:$AZ$19,4,FALSE)),"")</f>
        <v/>
      </c>
      <c r="C68" s="178" t="str">
        <f>IF(B68="","","Height = Height")</f>
        <v/>
      </c>
      <c r="D68" s="179"/>
      <c r="E68" s="180" t="str">
        <f>IF(C68="","",C64)</f>
        <v/>
      </c>
      <c r="F68" s="181"/>
      <c r="G68" s="182" t="str">
        <f>IFERROR(IF(C63="","",IF(VLOOKUP(C63,$K$2:$U$9,7,FALSE)="","",VLOOKUP(C63,$K$2:$U$9,7,FALSE))),"")</f>
        <v/>
      </c>
      <c r="H68" s="183"/>
      <c r="I68" s="117" t="str">
        <f>IF(A68="","",IF(I63="","",VLOOKUP(C63,$K$2:$V$9,12,FALSE)*I63))</f>
        <v/>
      </c>
    </row>
    <row r="69" spans="1:9" ht="15.75" x14ac:dyDescent="0.25">
      <c r="A69" s="38" t="str">
        <f>IFERROR(IF(VLOOKUP(C63,$K$2:$AZ$17,3,FALSE)="","",VLOOKUP(C63,$K$2:$AZ$17,3,FALSE)),"")</f>
        <v/>
      </c>
      <c r="B69" s="37" t="str">
        <f>IFERROR(IF(VLOOKUP(C63,$K$2:$AZ$19,8,FALSE)="","",VLOOKUP(C63,$K$2:$AZ$19,8,FALSE)),"")</f>
        <v/>
      </c>
      <c r="C69" s="178" t="str">
        <f>IF(B69="","","Height = Height")</f>
        <v/>
      </c>
      <c r="D69" s="179"/>
      <c r="E69" s="180" t="str">
        <f>IF(C69="","",C64)</f>
        <v/>
      </c>
      <c r="F69" s="181"/>
      <c r="G69" s="184" t="str">
        <f>IFERROR(IF(C63="","",IF(VLOOKUP(C63,$K$2:$U$9,11,FALSE)="","",VLOOKUP(C63,$K$2:$U$9,11,FALSE))),"")</f>
        <v/>
      </c>
      <c r="H69" s="184"/>
      <c r="I69" s="35" t="str">
        <f>IF(A69="","",IF(I63="","",VLOOKUP(A69,$M$2:$V$9,10,FALSE)*I63))</f>
        <v/>
      </c>
    </row>
    <row r="70" spans="1:9" ht="15.75" x14ac:dyDescent="0.25">
      <c r="A70" s="38" t="str">
        <f>IF('Order Form'!G15&lt;4.5,"",VLOOKUP('Order Form'!C15,'Cutting Sheet'!$K$1:$AW$9,36,FALSE))</f>
        <v/>
      </c>
      <c r="B70" s="37" t="str">
        <f>IFERROR(IF(A70="","",IF(VLOOKUP($C$63,$K$2:$AZ$19,37,FALSE)="","",VLOOKUP($C$63,$K$2:$AZ$19,37,FALSE))),"")</f>
        <v/>
      </c>
      <c r="C70" s="178" t="str">
        <f>IF(A70="","","Height -10")</f>
        <v/>
      </c>
      <c r="D70" s="179"/>
      <c r="E70" s="180" t="str">
        <f>IF(A70="","",C64-10)</f>
        <v/>
      </c>
      <c r="F70" s="181"/>
      <c r="G70" s="178"/>
      <c r="H70" s="179"/>
      <c r="I70" s="35" t="str">
        <f>IF(A70="","",ROUNDUP(I63/2,0))</f>
        <v/>
      </c>
    </row>
    <row r="71" spans="1:9" ht="15.75" x14ac:dyDescent="0.25">
      <c r="A71" s="186" t="s">
        <v>3</v>
      </c>
      <c r="B71" s="189"/>
      <c r="C71" s="186"/>
      <c r="D71" s="186"/>
      <c r="E71" s="186"/>
      <c r="F71" s="186"/>
      <c r="G71" s="186"/>
      <c r="H71" s="186"/>
      <c r="I71" s="186"/>
    </row>
    <row r="72" spans="1:9" ht="15.75" x14ac:dyDescent="0.25">
      <c r="A72" s="38" t="str">
        <f>IFERROR(IF(VLOOKUP(C63,$K$2:$AZ$17,16,FALSE)="","",VLOOKUP(C63,$K$2:$AZ$17,16,FALSE)),"")</f>
        <v/>
      </c>
      <c r="B72" s="37" t="str">
        <f>IFERROR(IF(VLOOKUP(C63,$K$2:$AZ$19,20,FALSE)="","",VLOOKUP(C63,$K$2:$AZ$19,20,FALSE)),"")</f>
        <v/>
      </c>
      <c r="C72" s="178" t="str">
        <f>IFERROR(IF(C63="","",IF(VLOOKUP(C63,$K$2:$AZ$9,21,FALSE)="","",VLOOKUP(C63,$K$2:$AZ$9,21,FALSE))),"")</f>
        <v/>
      </c>
      <c r="D72" s="179"/>
      <c r="E72" s="180" t="str">
        <f>IFERROR(IF(C63="","",IF(VLOOKUP(C63,$K$2:$AZ$9,22,FALSE)="","",E64+VLOOKUP(C63,$K$2:$AZ$9,22,FALSE))),"")</f>
        <v/>
      </c>
      <c r="F72" s="181"/>
      <c r="G72" s="178" t="str">
        <f>IFERROR(IF(C63="","",IF(VLOOKUP(C63,$K$2:$AZ$9,23,FALSE)="","",VLOOKUP(C63,$K$2:$AZ$9,23,FALSE))),"")</f>
        <v/>
      </c>
      <c r="H72" s="179"/>
      <c r="I72" s="35" t="str">
        <f>IF(I63="","",IF(A72="","",IF(A72=$Z$2,I63*2,I63)))</f>
        <v/>
      </c>
    </row>
    <row r="73" spans="1:9" ht="15.75" x14ac:dyDescent="0.25">
      <c r="A73" s="38" t="str">
        <f>IFERROR(IF(VLOOKUP(C63,$K$2:$AZ$17,17,FALSE)="","",VLOOKUP(C63,$K$2:$AZ$17,17,FALSE)),"")</f>
        <v/>
      </c>
      <c r="B73" s="37" t="str">
        <f>IFERROR(IF(VLOOKUP(C63,$K$2:$AZ$19,24,FALSE)="","",VLOOKUP(C63,$K$2:$AZ$19,24,FALSE)),"")</f>
        <v/>
      </c>
      <c r="C73" s="178" t="str">
        <f>IFERROR(IF(C63="","",IF(VLOOKUP(C63,$K$2:$AZ$9,25,FALSE)="","",VLOOKUP(C63,$K$2:$AZ$9,25,FALSE))),"")</f>
        <v/>
      </c>
      <c r="D73" s="179"/>
      <c r="E73" s="180" t="str">
        <f>IFERROR(IF(C63="","",IF(VLOOKUP(C63,$K$2:$AZ$9,26,FALSE)="","",E64+VLOOKUP(C63,$K$2:$AZ$9,26,FALSE))),"")</f>
        <v/>
      </c>
      <c r="F73" s="181"/>
      <c r="G73" s="178" t="str">
        <f>IFERROR(IF(C63="","",IF(VLOOKUP(C63,$K$2:$AZ$9,27,FALSE)="","",VLOOKUP(C63,$K$2:$AZ$9,27,FALSE))),"")</f>
        <v/>
      </c>
      <c r="H73" s="179"/>
      <c r="I73" s="35" t="str">
        <f>IF(I63="","",IF(A73="","",IF(A72=$Z$2,IF(A75=$AC$2,I72+(I75*2),I63*2),I63)))</f>
        <v/>
      </c>
    </row>
    <row r="74" spans="1:9" ht="15.75" x14ac:dyDescent="0.25">
      <c r="A74" s="38" t="str">
        <f>IFERROR(IF(VLOOKUP(C63,$K$2:$AZ$17,18,FALSE)="","",VLOOKUP(C63,$K$2:$AZ$17,18,FALSE)),"")</f>
        <v/>
      </c>
      <c r="B74" s="37" t="str">
        <f>IFERROR(IF(VLOOKUP(C63,$K$2:$AZ$19,28,FALSE)="","",VLOOKUP(C63,$K$2:$AZ$19,28,FALSE)),"")</f>
        <v/>
      </c>
      <c r="C74" s="178" t="str">
        <f>IFERROR(IF(C63="","",IF(VLOOKUP(C63,$K$2:$AZ$9,29,FALSE)="","",VLOOKUP(C63,$K$2:$AZ$9,29,FALSE))),"")</f>
        <v/>
      </c>
      <c r="D74" s="179"/>
      <c r="E74" s="180" t="str">
        <f>IFERROR(IF(C63="","",IF(VLOOKUP(C63,$K$2:$AZ$9,30,FALSE)="","",E64+VLOOKUP(C63,$K$2:$AZ$9,30,FALSE))),"")</f>
        <v/>
      </c>
      <c r="F74" s="181"/>
      <c r="G74" s="178" t="str">
        <f>IFERROR(IF(C63="","",IF(VLOOKUP(C63,$K$2:$AZ$9,31,FALSE)="","",VLOOKUP(C63,$K$2:$AZ$9,31,FALSE))),"")</f>
        <v/>
      </c>
      <c r="H74" s="179"/>
      <c r="I74" s="35" t="str">
        <f>IF(I63="","",IF(A74="","",IF(A75=$AC$2,I73+I72+(I75*2),IF(A72=$Z$2,I63*2,I63))))</f>
        <v/>
      </c>
    </row>
    <row r="75" spans="1:9" ht="15.75" x14ac:dyDescent="0.25">
      <c r="A75" s="38" t="str">
        <f>IFERROR(IF(I64="","",IF(VLOOKUP(C63,$K$2:$AZ$17,19,FALSE)="","",VLOOKUP(C63,$K$2:$AZ$17,19,FALSE))),"")</f>
        <v/>
      </c>
      <c r="B75" s="37" t="str">
        <f>IFERROR(IF(A75="","",IF(VLOOKUP(C63,$K$2:$AZ$19,32,FALSE)="","",VLOOKUP(C63,$K$2:$AZ$19,32,FALSE))),"")</f>
        <v/>
      </c>
      <c r="C75" s="178" t="str">
        <f>IFERROR(IF(A75="","",IF(C63="","",IF(VLOOKUP(C63,$K$2:$AZ$9,33,FALSE)="","",VLOOKUP(C63,$K$2:$AZ$9,33,FALSE)))),"")</f>
        <v/>
      </c>
      <c r="D75" s="179"/>
      <c r="E75" s="180" t="str">
        <f>IFERROR(IF(A75="","",IF(C63="","",IF(VLOOKUP(C63,$K$2:$AZ$9,34,FALSE)="","",E64+VLOOKUP(C63,$K$2:$AZ$9,34,FALSE)))),"")</f>
        <v/>
      </c>
      <c r="F75" s="181"/>
      <c r="G75" s="178" t="str">
        <f>IFERROR(IF(A75="","",IF(C63="","",IF(VLOOKUP(C63,$K$2:$AZ$9,35,FALSE)="","",VLOOKUP(C63,$K$2:$AZ$9,35,FALSE)))),"")</f>
        <v/>
      </c>
      <c r="H75" s="179"/>
      <c r="I75" s="35" t="str">
        <f>IF(I63="","",IF(A75="","",I64*I63))</f>
        <v/>
      </c>
    </row>
    <row r="76" spans="1:9" ht="15.75" x14ac:dyDescent="0.25">
      <c r="A76" s="38" t="str">
        <f>IFERROR(IF(I65="","",IF(VLOOKUP($C63,$K$2:$AZ$17,40,FALSE)="","",VLOOKUP($C63,$K$2:$AZ$17,40,FALSE))),"?")</f>
        <v/>
      </c>
      <c r="B76" s="37" t="str">
        <f>IFERROR(IF(A76="","",IF(VLOOKUP($C63,$K$2:$AZ$19,41,FALSE)="","",VLOOKUP($C63,$K$2:$AZ$19,41,FALSE))),"?")</f>
        <v/>
      </c>
      <c r="C76" s="178" t="str">
        <f>IFERROR(IF(A76="","",IF($C63="","",IF(VLOOKUP($C63,$K$2:$AZ$9,42,FALSE)="","",VLOOKUP($C63,$K$2:$AZ$9,42,FALSE)))),"?")</f>
        <v/>
      </c>
      <c r="D76" s="179"/>
      <c r="E76" s="180" t="str">
        <f>IFERROR(IF(A76="","",IF($C63="","",IF(VLOOKUP($C63,$K$2:$BA$9,43,FALSE)="","",$E64+VLOOKUP($C63,$K$2:$BA$9,43,FALSE)))),"?")</f>
        <v/>
      </c>
      <c r="F76" s="181"/>
      <c r="G76" s="178" t="str">
        <f>IFERROR(IF(A76="","",IF($C$3="","",IF(VLOOKUP($C$3,$K$2:$AZ$9,35,FALSE)="","",VLOOKUP($C$3,$K$2:$AZ$9,35,FALSE)))),"?")</f>
        <v/>
      </c>
      <c r="H76" s="179"/>
      <c r="I76" s="35" t="str">
        <f>IF(I65="","",IF(A76="","",I63))</f>
        <v/>
      </c>
    </row>
    <row r="77" spans="1:9" ht="5.0999999999999996" customHeight="1" x14ac:dyDescent="0.25">
      <c r="I77" s="55"/>
    </row>
    <row r="78" spans="1:9" ht="15.75" x14ac:dyDescent="0.25">
      <c r="A78" s="11" t="s">
        <v>40</v>
      </c>
      <c r="B78" s="11"/>
      <c r="C78" s="185" t="str">
        <f>IF('Order Form'!C16="","",'Order Form'!C16)</f>
        <v/>
      </c>
      <c r="D78" s="185"/>
      <c r="E78" s="185"/>
      <c r="F78" s="185"/>
      <c r="G78" s="185"/>
      <c r="H78" s="12" t="s">
        <v>107</v>
      </c>
      <c r="I78" s="54" t="str">
        <f>IF('Order Form'!D16="","",'Order Form'!D16)</f>
        <v/>
      </c>
    </row>
    <row r="79" spans="1:9" ht="15.75" x14ac:dyDescent="0.25">
      <c r="A79" s="11" t="s">
        <v>31</v>
      </c>
      <c r="B79" s="12" t="s">
        <v>24</v>
      </c>
      <c r="C79" s="43" t="str">
        <f>IF('Order Form'!E16="","",'Order Form'!E16)</f>
        <v/>
      </c>
      <c r="D79" s="12" t="s">
        <v>25</v>
      </c>
      <c r="E79" s="43" t="str">
        <f>IF('Order Form'!F16="","",'Order Form'!F16)</f>
        <v/>
      </c>
      <c r="F79" s="13"/>
      <c r="G79" s="39"/>
      <c r="H79" s="12" t="s">
        <v>108</v>
      </c>
      <c r="I79" s="43" t="str">
        <f>IF('Order Form'!I16="","",IF('Order Form'!I16=0,"",'Order Form'!I16))</f>
        <v/>
      </c>
    </row>
    <row r="80" spans="1:9" ht="15.75" x14ac:dyDescent="0.25">
      <c r="A80" s="11"/>
      <c r="B80" s="12"/>
      <c r="C80" s="129"/>
      <c r="D80" s="12"/>
      <c r="E80" s="129"/>
      <c r="F80" s="13"/>
      <c r="G80" s="11"/>
      <c r="H80" s="12" t="s">
        <v>225</v>
      </c>
      <c r="I80" s="131" t="str">
        <f>IF('Order Form'!J16=TRUE,"Yes","")</f>
        <v/>
      </c>
    </row>
    <row r="81" spans="1:9" ht="15.75" x14ac:dyDescent="0.25">
      <c r="A81" s="186" t="s">
        <v>2</v>
      </c>
      <c r="B81" s="186"/>
      <c r="C81" s="186"/>
      <c r="D81" s="186"/>
      <c r="E81" s="186"/>
      <c r="F81" s="186"/>
      <c r="G81" s="186"/>
      <c r="H81" s="186"/>
      <c r="I81" s="186"/>
    </row>
    <row r="82" spans="1:9" ht="15.75" thickBot="1" x14ac:dyDescent="0.3">
      <c r="A82" s="187" t="s">
        <v>26</v>
      </c>
      <c r="B82" s="188"/>
      <c r="C82" s="187" t="s">
        <v>27</v>
      </c>
      <c r="D82" s="188"/>
      <c r="E82" s="187" t="s">
        <v>28</v>
      </c>
      <c r="F82" s="188"/>
      <c r="G82" s="187" t="s">
        <v>106</v>
      </c>
      <c r="H82" s="188"/>
      <c r="I82" s="34" t="s">
        <v>38</v>
      </c>
    </row>
    <row r="83" spans="1:9" ht="16.5" thickTop="1" x14ac:dyDescent="0.25">
      <c r="A83" s="38" t="str">
        <f>IFERROR(IF(VLOOKUP(C78,$K$2:$AZ$17,2,FALSE)="","",VLOOKUP(C78,$K$2:$AZ$17,2,FALSE)),"")</f>
        <v/>
      </c>
      <c r="B83" s="37" t="str">
        <f>IFERROR(IF(VLOOKUP(C78,$K$2:$AZ$19,4,FALSE)="","",VLOOKUP(C78,$K$2:$AZ$19,4,FALSE)),"")</f>
        <v/>
      </c>
      <c r="C83" s="178" t="str">
        <f>IF(B83="","","Height = Height")</f>
        <v/>
      </c>
      <c r="D83" s="179"/>
      <c r="E83" s="180" t="str">
        <f>IF(C83="","",C79)</f>
        <v/>
      </c>
      <c r="F83" s="181"/>
      <c r="G83" s="182" t="str">
        <f>IFERROR(IF(C78="","",IF(VLOOKUP(C78,$K$2:$U$9,7,FALSE)="","",VLOOKUP(C78,$K$2:$U$9,7,FALSE))),"")</f>
        <v/>
      </c>
      <c r="H83" s="183"/>
      <c r="I83" s="117" t="str">
        <f>IF(A83="","",IF(I78="","",VLOOKUP(C78,$K$2:$V$9,12,FALSE)*I78))</f>
        <v/>
      </c>
    </row>
    <row r="84" spans="1:9" ht="15.75" x14ac:dyDescent="0.25">
      <c r="A84" s="38" t="str">
        <f>IFERROR(IF(VLOOKUP(C78,$K$2:$AZ$17,3,FALSE)="","",VLOOKUP(C78,$K$2:$AZ$17,3,FALSE)),"")</f>
        <v/>
      </c>
      <c r="B84" s="37" t="str">
        <f>IFERROR(IF(VLOOKUP(C78,$K$2:$AZ$19,8,FALSE)="","",VLOOKUP(C78,$K$2:$AZ$19,8,FALSE)),"")</f>
        <v/>
      </c>
      <c r="C84" s="178" t="str">
        <f>IF(B84="","","Height = Height")</f>
        <v/>
      </c>
      <c r="D84" s="179"/>
      <c r="E84" s="180" t="str">
        <f>IF(C84="","",C79)</f>
        <v/>
      </c>
      <c r="F84" s="181"/>
      <c r="G84" s="184" t="str">
        <f>IFERROR(IF(C78="","",IF(VLOOKUP(C78,$K$2:$U$9,11,FALSE)="","",VLOOKUP(C78,$K$2:$U$9,11,FALSE))),"")</f>
        <v/>
      </c>
      <c r="H84" s="184"/>
      <c r="I84" s="35" t="str">
        <f>IF(A84="","",IF(I78="","",VLOOKUP(A84,$M$2:$V$9,10,FALSE)*I78))</f>
        <v/>
      </c>
    </row>
    <row r="85" spans="1:9" ht="15.75" x14ac:dyDescent="0.25">
      <c r="A85" s="38" t="str">
        <f>IF('Order Form'!G15&lt;4.5,"",VLOOKUP('Order Form'!C15,'Cutting Sheet'!$K$1:$AW$9,36,FALSE))</f>
        <v/>
      </c>
      <c r="B85" s="37" t="str">
        <f>IFERROR(IF(A85="","",IF(VLOOKUP($C$85,$K$2:$AZ$19,37,FALSE)="","",VLOOKUP($C$85,$K$2:$AZ$19,37,FALSE))),"")</f>
        <v/>
      </c>
      <c r="C85" s="178" t="str">
        <f>IF(A85="","","Height -10")</f>
        <v/>
      </c>
      <c r="D85" s="179"/>
      <c r="E85" s="180" t="str">
        <f>IF(A85="","",C79-10)</f>
        <v/>
      </c>
      <c r="F85" s="181"/>
      <c r="G85" s="178"/>
      <c r="H85" s="179"/>
      <c r="I85" s="35" t="str">
        <f>IF(A85="","",ROUNDUP(I78/2,0))</f>
        <v/>
      </c>
    </row>
    <row r="86" spans="1:9" ht="15.75" x14ac:dyDescent="0.25">
      <c r="A86" s="186" t="s">
        <v>3</v>
      </c>
      <c r="B86" s="189"/>
      <c r="C86" s="186"/>
      <c r="D86" s="186"/>
      <c r="E86" s="186"/>
      <c r="F86" s="186"/>
      <c r="G86" s="186"/>
      <c r="H86" s="186"/>
      <c r="I86" s="186"/>
    </row>
    <row r="87" spans="1:9" ht="15.75" x14ac:dyDescent="0.25">
      <c r="A87" s="38" t="str">
        <f>IFERROR(IF(VLOOKUP(C78,$K$2:$AZ$17,16,FALSE)="","",VLOOKUP(C78,$K$2:$AZ$17,16,FALSE)),"")</f>
        <v/>
      </c>
      <c r="B87" s="37" t="str">
        <f>IFERROR(IF(VLOOKUP(C78,$K$2:$AZ$19,20,FALSE)="","",VLOOKUP(C78,$K$2:$AZ$19,20,FALSE)),"")</f>
        <v/>
      </c>
      <c r="C87" s="178" t="str">
        <f>IFERROR(IF(C78="","",IF(VLOOKUP(C78,$K$2:$AZ$9,21,FALSE)="","",VLOOKUP(C78,$K$2:$AZ$9,21,FALSE))),"")</f>
        <v/>
      </c>
      <c r="D87" s="179"/>
      <c r="E87" s="180" t="str">
        <f>IFERROR(IF(C78="","",IF(VLOOKUP(C78,$K$2:$AZ$9,22,FALSE)="","",E79+VLOOKUP(C78,$K$2:$AZ$9,22,FALSE))),"")</f>
        <v/>
      </c>
      <c r="F87" s="181"/>
      <c r="G87" s="178" t="str">
        <f>IFERROR(IF(C78="","",IF(VLOOKUP(C78,$K$2:$AZ$9,23,FALSE)="","",VLOOKUP(C78,$K$2:$AZ$9,23,FALSE))),"")</f>
        <v/>
      </c>
      <c r="H87" s="179"/>
      <c r="I87" s="35" t="str">
        <f>IF(I78="","",IF(A87="","",IF(A87=$Z$2,I78*2,I78)))</f>
        <v/>
      </c>
    </row>
    <row r="88" spans="1:9" ht="15.75" x14ac:dyDescent="0.25">
      <c r="A88" s="38" t="str">
        <f>IFERROR(IF(VLOOKUP(C78,$K$2:$AZ$17,17,FALSE)="","",VLOOKUP(C78,$K$2:$AZ$17,17,FALSE)),"")</f>
        <v/>
      </c>
      <c r="B88" s="37" t="str">
        <f>IFERROR(IF(VLOOKUP(C78,$K$2:$AZ$19,24,FALSE)="","",VLOOKUP(C78,$K$2:$AZ$19,24,FALSE)),"")</f>
        <v/>
      </c>
      <c r="C88" s="178" t="str">
        <f>IFERROR(IF(C78="","",IF(VLOOKUP(C78,$K$2:$AZ$9,25,FALSE)="","",VLOOKUP(C78,$K$2:$AZ$9,25,FALSE))),"")</f>
        <v/>
      </c>
      <c r="D88" s="179"/>
      <c r="E88" s="180" t="str">
        <f>IFERROR(IF(C78="","",IF(VLOOKUP(C78,$K$2:$AZ$9,26,FALSE)="","",E79+VLOOKUP(C78,$K$2:$AZ$9,26,FALSE))),"")</f>
        <v/>
      </c>
      <c r="F88" s="181"/>
      <c r="G88" s="178" t="str">
        <f>IFERROR(IF(C78="","",IF(VLOOKUP(C78,$K$2:$AZ$9,27,FALSE)="","",VLOOKUP(C78,$K$2:$AZ$9,27,FALSE))),"")</f>
        <v/>
      </c>
      <c r="H88" s="179"/>
      <c r="I88" s="35" t="str">
        <f>IF(I78="","",IF(A88="","",IF(A87=$Z$2,IF(A90=$AC$2,I87+(I90*2),I78*2),I78)))</f>
        <v/>
      </c>
    </row>
    <row r="89" spans="1:9" ht="15.75" x14ac:dyDescent="0.25">
      <c r="A89" s="38" t="str">
        <f>IFERROR(IF(VLOOKUP(C78,$K$2:$AZ$17,18,FALSE)="","",VLOOKUP(C78,$K$2:$AZ$17,18,FALSE)),"")</f>
        <v/>
      </c>
      <c r="B89" s="37" t="str">
        <f>IFERROR(IF(VLOOKUP(C78,$K$2:$AZ$19,28,FALSE)="","",VLOOKUP(C78,$K$2:$AZ$19,28,FALSE)),"")</f>
        <v/>
      </c>
      <c r="C89" s="178" t="str">
        <f>IFERROR(IF(C78="","",IF(VLOOKUP(C78,$K$2:$AZ$9,29,FALSE)="","",VLOOKUP(C78,$K$2:$AZ$9,29,FALSE))),"")</f>
        <v/>
      </c>
      <c r="D89" s="179"/>
      <c r="E89" s="180" t="str">
        <f>IFERROR(IF(C78="","",IF(VLOOKUP(C78,$K$2:$AZ$9,30,FALSE)="","",E79+VLOOKUP(C78,$K$2:$AZ$9,30,FALSE))),"")</f>
        <v/>
      </c>
      <c r="F89" s="181"/>
      <c r="G89" s="178" t="str">
        <f>IFERROR(IF(C78="","",IF(VLOOKUP(C78,$K$2:$AZ$9,31,FALSE)="","",VLOOKUP(C78,$K$2:$AZ$9,31,FALSE))),"")</f>
        <v/>
      </c>
      <c r="H89" s="179"/>
      <c r="I89" s="35" t="str">
        <f>IF(I78="","",IF(A89="","",IF(A90=$AC$2,I88+I87+(I90*2),IF(A87=$Z$2,I78*2,I78))))</f>
        <v/>
      </c>
    </row>
    <row r="90" spans="1:9" ht="15.75" x14ac:dyDescent="0.25">
      <c r="A90" s="38" t="str">
        <f>IFERROR(IF(I79="","",IF(VLOOKUP(C78,$K$2:$AZ$17,19,FALSE)="","",VLOOKUP(C78,$K$2:$AZ$17,19,FALSE))),"")</f>
        <v/>
      </c>
      <c r="B90" s="37" t="str">
        <f>IFERROR(IF(A90="","",IF(VLOOKUP(C78,$K$2:$AZ$19,32,FALSE)="","",VLOOKUP(C78,$K$2:$AZ$19,32,FALSE))),"")</f>
        <v/>
      </c>
      <c r="C90" s="178" t="str">
        <f>IFERROR(IF(A90="","",IF(C78="","",IF(VLOOKUP(C78,$K$2:$AZ$9,33,FALSE)="","",VLOOKUP(C78,$K$2:$AZ$9,33,FALSE)))),"")</f>
        <v/>
      </c>
      <c r="D90" s="179"/>
      <c r="E90" s="180" t="str">
        <f>IFERROR(IF(A90="","",IF(C78="","",IF(VLOOKUP(C78,$K$2:$AZ$9,34,FALSE)="","",E79+VLOOKUP(C78,$K$2:$AZ$9,34,FALSE)))),"")</f>
        <v/>
      </c>
      <c r="F90" s="181"/>
      <c r="G90" s="178" t="str">
        <f>IFERROR(IF(A90="","",IF(C78="","",IF(VLOOKUP(C78,$K$2:$AZ$9,35,FALSE)="","",VLOOKUP(C78,$K$2:$AZ$9,35,FALSE)))),"")</f>
        <v/>
      </c>
      <c r="H90" s="179"/>
      <c r="I90" s="35" t="str">
        <f>IF(I78="","",IF(A90="","",I79*I78))</f>
        <v/>
      </c>
    </row>
    <row r="91" spans="1:9" ht="15.75" x14ac:dyDescent="0.25">
      <c r="A91" s="38" t="str">
        <f>IFERROR(IF(I80="","",IF(VLOOKUP($C78,$K$2:$AZ$17,40,FALSE)="","",VLOOKUP($C78,$K$2:$AZ$17,40,FALSE))),"?")</f>
        <v/>
      </c>
      <c r="B91" s="37" t="str">
        <f>IFERROR(IF(A91="","",IF(VLOOKUP($C78,$K$2:$AZ$19,41,FALSE)="","",VLOOKUP($C78,$K$2:$AZ$19,41,FALSE))),"?")</f>
        <v/>
      </c>
      <c r="C91" s="178" t="str">
        <f>IFERROR(IF(A91="","",IF($C78="","",IF(VLOOKUP($C78,$K$2:$AZ$9,42,FALSE)="","",VLOOKUP($C78,$K$2:$AZ$9,42,FALSE)))),"?")</f>
        <v/>
      </c>
      <c r="D91" s="179"/>
      <c r="E91" s="180" t="str">
        <f>IFERROR(IF(A91="","",IF($C78="","",IF(VLOOKUP($C78,$K$2:$BA$9,43,FALSE)="","",$E79+VLOOKUP($C78,$K$2:$BA$9,43,FALSE)))),"?")</f>
        <v/>
      </c>
      <c r="F91" s="181"/>
      <c r="G91" s="178" t="str">
        <f>IFERROR(IF(A91="","",IF($C$3="","",IF(VLOOKUP($C$3,$K$2:$AZ$9,35,FALSE)="","",VLOOKUP($C$3,$K$2:$AZ$9,35,FALSE)))),"?")</f>
        <v/>
      </c>
      <c r="H91" s="179"/>
      <c r="I91" s="35" t="str">
        <f>IF(I80="","",IF(A91="","",I78))</f>
        <v/>
      </c>
    </row>
    <row r="92" spans="1:9" ht="5.0999999999999996" customHeight="1" x14ac:dyDescent="0.25">
      <c r="I92" s="55"/>
    </row>
    <row r="93" spans="1:9" ht="15.75" x14ac:dyDescent="0.25">
      <c r="A93" s="11" t="s">
        <v>40</v>
      </c>
      <c r="B93" s="11"/>
      <c r="C93" s="185" t="str">
        <f>IF('Order Form'!C17="","",'Order Form'!C17)</f>
        <v/>
      </c>
      <c r="D93" s="185"/>
      <c r="E93" s="185"/>
      <c r="F93" s="185"/>
      <c r="G93" s="185"/>
      <c r="H93" s="12" t="s">
        <v>107</v>
      </c>
      <c r="I93" s="54" t="str">
        <f>IF('Order Form'!D17="","",'Order Form'!D17)</f>
        <v/>
      </c>
    </row>
    <row r="94" spans="1:9" ht="15.75" x14ac:dyDescent="0.25">
      <c r="A94" s="11" t="s">
        <v>31</v>
      </c>
      <c r="B94" s="12" t="s">
        <v>24</v>
      </c>
      <c r="C94" s="43" t="str">
        <f>IF('Order Form'!E17="","",'Order Form'!E17)</f>
        <v/>
      </c>
      <c r="D94" s="12" t="s">
        <v>25</v>
      </c>
      <c r="E94" s="43" t="str">
        <f>IF('Order Form'!F17="","",'Order Form'!F17)</f>
        <v/>
      </c>
      <c r="F94" s="13"/>
      <c r="G94" s="39"/>
      <c r="H94" s="12" t="s">
        <v>108</v>
      </c>
      <c r="I94" s="43" t="str">
        <f>IF('Order Form'!I17="","",IF('Order Form'!I17=0,"",'Order Form'!I17))</f>
        <v/>
      </c>
    </row>
    <row r="95" spans="1:9" ht="15.75" x14ac:dyDescent="0.25">
      <c r="A95" s="11"/>
      <c r="B95" s="12"/>
      <c r="C95" s="129"/>
      <c r="D95" s="12"/>
      <c r="E95" s="129"/>
      <c r="F95" s="13"/>
      <c r="G95" s="11"/>
      <c r="H95" s="12" t="s">
        <v>225</v>
      </c>
      <c r="I95" s="131" t="str">
        <f>IF('Order Form'!J17=TRUE,"Yes","")</f>
        <v/>
      </c>
    </row>
    <row r="96" spans="1:9" ht="15.75" x14ac:dyDescent="0.25">
      <c r="A96" s="186" t="s">
        <v>2</v>
      </c>
      <c r="B96" s="186"/>
      <c r="C96" s="186"/>
      <c r="D96" s="186"/>
      <c r="E96" s="186"/>
      <c r="F96" s="186"/>
      <c r="G96" s="186"/>
      <c r="H96" s="186"/>
      <c r="I96" s="186"/>
    </row>
    <row r="97" spans="1:9" ht="15.75" thickBot="1" x14ac:dyDescent="0.3">
      <c r="A97" s="187" t="s">
        <v>26</v>
      </c>
      <c r="B97" s="188"/>
      <c r="C97" s="187" t="s">
        <v>27</v>
      </c>
      <c r="D97" s="188"/>
      <c r="E97" s="187" t="s">
        <v>28</v>
      </c>
      <c r="F97" s="188"/>
      <c r="G97" s="187" t="s">
        <v>106</v>
      </c>
      <c r="H97" s="188"/>
      <c r="I97" s="34" t="s">
        <v>38</v>
      </c>
    </row>
    <row r="98" spans="1:9" ht="16.5" thickTop="1" x14ac:dyDescent="0.25">
      <c r="A98" s="38" t="str">
        <f>IFERROR(IF(VLOOKUP(C93,$K$2:$AZ$17,2,FALSE)="","",VLOOKUP(C93,$K$2:$AZ$17,2,FALSE)),"")</f>
        <v/>
      </c>
      <c r="B98" s="37" t="str">
        <f>IFERROR(IF(VLOOKUP(C93,$K$2:$AZ$19,4,FALSE)="","",VLOOKUP(C93,$K$2:$AZ$19,4,FALSE)),"")</f>
        <v/>
      </c>
      <c r="C98" s="178" t="str">
        <f>IF(B98="","","Height = Height")</f>
        <v/>
      </c>
      <c r="D98" s="179"/>
      <c r="E98" s="180" t="str">
        <f>IF(C98="","",C94)</f>
        <v/>
      </c>
      <c r="F98" s="181"/>
      <c r="G98" s="182" t="str">
        <f>IFERROR(IF(C93="","",IF(VLOOKUP(C93,$K$2:$U$9,7,FALSE)="","",VLOOKUP(C93,$K$2:$U$9,7,FALSE))),"")</f>
        <v/>
      </c>
      <c r="H98" s="183"/>
      <c r="I98" s="117" t="str">
        <f>IF(A98="","",IF(I93="","",VLOOKUP(C93,$K$2:$V$9,12,FALSE)*I93))</f>
        <v/>
      </c>
    </row>
    <row r="99" spans="1:9" ht="15.75" x14ac:dyDescent="0.25">
      <c r="A99" s="38" t="str">
        <f>IFERROR(IF(VLOOKUP(C93,$K$2:$AZ$17,3,FALSE)="","",VLOOKUP(C93,$K$2:$AZ$17,3,FALSE)),"")</f>
        <v/>
      </c>
      <c r="B99" s="37" t="str">
        <f>IFERROR(IF(VLOOKUP(C93,$K$2:$AZ$19,8,FALSE)="","",VLOOKUP(C93,$K$2:$AZ$19,8,FALSE)),"")</f>
        <v/>
      </c>
      <c r="C99" s="178" t="str">
        <f>IF(B99="","","Height = Height")</f>
        <v/>
      </c>
      <c r="D99" s="179"/>
      <c r="E99" s="180" t="str">
        <f>IF(C99="","",C94)</f>
        <v/>
      </c>
      <c r="F99" s="181"/>
      <c r="G99" s="184" t="str">
        <f>IFERROR(IF(C93="","",IF(VLOOKUP(C93,$K$2:$U$9,11,FALSE)="","",VLOOKUP(C93,$K$2:$U$9,11,FALSE))),"")</f>
        <v/>
      </c>
      <c r="H99" s="184"/>
      <c r="I99" s="35" t="str">
        <f>IF(A99="","",IF(I93="","",VLOOKUP(A99,$M$2:$V$9,10,FALSE)*I93))</f>
        <v/>
      </c>
    </row>
    <row r="100" spans="1:9" ht="15.75" x14ac:dyDescent="0.25">
      <c r="A100" s="38" t="str">
        <f>IF('Order Form'!G30&lt;4.5,"",VLOOKUP('Order Form'!C30,'Cutting Sheet'!$K$1:$AW$9,36,FALSE))</f>
        <v/>
      </c>
      <c r="B100" s="37" t="str">
        <f>IFERROR(IF(A100="","",IF(VLOOKUP($C$93,$K$2:$AZ$19,37,FALSE)="","",VLOOKUP($C$93,$K$2:$AZ$19,37,FALSE))),"")</f>
        <v/>
      </c>
      <c r="C100" s="178" t="str">
        <f>IF(A100="","","Height -10")</f>
        <v/>
      </c>
      <c r="D100" s="179"/>
      <c r="E100" s="180" t="str">
        <f>IF(A100="","",C94-10)</f>
        <v/>
      </c>
      <c r="F100" s="181"/>
      <c r="G100" s="178"/>
      <c r="H100" s="179"/>
      <c r="I100" s="35" t="str">
        <f>IF(A100="","",ROUNDUP(I93/2,0))</f>
        <v/>
      </c>
    </row>
    <row r="101" spans="1:9" ht="15.75" x14ac:dyDescent="0.25">
      <c r="A101" s="186" t="s">
        <v>3</v>
      </c>
      <c r="B101" s="189"/>
      <c r="C101" s="186"/>
      <c r="D101" s="186"/>
      <c r="E101" s="186"/>
      <c r="F101" s="186"/>
      <c r="G101" s="186"/>
      <c r="H101" s="186"/>
      <c r="I101" s="186"/>
    </row>
    <row r="102" spans="1:9" ht="15.75" x14ac:dyDescent="0.25">
      <c r="A102" s="38" t="str">
        <f>IFERROR(IF(VLOOKUP(C93,$K$2:$AZ$17,16,FALSE)="","",VLOOKUP(C93,$K$2:$AZ$17,16,FALSE)),"")</f>
        <v/>
      </c>
      <c r="B102" s="37" t="str">
        <f>IFERROR(IF(VLOOKUP(C93,$K$2:$AZ$19,20,FALSE)="","",VLOOKUP(C93,$K$2:$AZ$19,20,FALSE)),"")</f>
        <v/>
      </c>
      <c r="C102" s="178" t="str">
        <f>IFERROR(IF(C93="","",IF(VLOOKUP(C93,$K$2:$AZ$9,21,FALSE)="","",VLOOKUP(C93,$K$2:$AZ$9,21,FALSE))),"")</f>
        <v/>
      </c>
      <c r="D102" s="179"/>
      <c r="E102" s="180" t="str">
        <f>IFERROR(IF(C93="","",IF(VLOOKUP(C93,$K$2:$AZ$9,22,FALSE)="","",E94+VLOOKUP(C93,$K$2:$AZ$9,22,FALSE))),"")</f>
        <v/>
      </c>
      <c r="F102" s="181"/>
      <c r="G102" s="178" t="str">
        <f>IFERROR(IF(C93="","",IF(VLOOKUP(C93,$K$2:$AZ$9,23,FALSE)="","",VLOOKUP(C93,$K$2:$AZ$9,23,FALSE))),"")</f>
        <v/>
      </c>
      <c r="H102" s="179"/>
      <c r="I102" s="35" t="str">
        <f>IF(I93="","",IF(A102="","",IF(A102=$Z$2,I93*2,I93)))</f>
        <v/>
      </c>
    </row>
    <row r="103" spans="1:9" ht="15.75" x14ac:dyDescent="0.25">
      <c r="A103" s="38" t="str">
        <f>IFERROR(IF(VLOOKUP(C93,$K$2:$AZ$17,17,FALSE)="","",VLOOKUP(C93,$K$2:$AZ$17,17,FALSE)),"")</f>
        <v/>
      </c>
      <c r="B103" s="37" t="str">
        <f>IFERROR(IF(VLOOKUP(C93,$K$2:$AZ$19,24,FALSE)="","",VLOOKUP(C93,$K$2:$AZ$19,24,FALSE)),"")</f>
        <v/>
      </c>
      <c r="C103" s="178" t="str">
        <f>IFERROR(IF(C93="","",IF(VLOOKUP(C93,$K$2:$AZ$9,25,FALSE)="","",VLOOKUP(C93,$K$2:$AZ$9,25,FALSE))),"")</f>
        <v/>
      </c>
      <c r="D103" s="179"/>
      <c r="E103" s="180" t="str">
        <f>IFERROR(IF(C93="","",IF(VLOOKUP(C93,$K$2:$AZ$9,26,FALSE)="","",E94+VLOOKUP(C93,$K$2:$AZ$9,26,FALSE))),"")</f>
        <v/>
      </c>
      <c r="F103" s="181"/>
      <c r="G103" s="178" t="str">
        <f>IFERROR(IF(C93="","",IF(VLOOKUP(C93,$K$2:$AZ$9,27,FALSE)="","",VLOOKUP(C93,$K$2:$AZ$9,27,FALSE))),"")</f>
        <v/>
      </c>
      <c r="H103" s="179"/>
      <c r="I103" s="35" t="str">
        <f>IF(I93="","",IF(A103="","",IF(A102=$Z$2,IF(A105=$AC$2,I102+(I105*2),I93*2),I93)))</f>
        <v/>
      </c>
    </row>
    <row r="104" spans="1:9" ht="15.75" x14ac:dyDescent="0.25">
      <c r="A104" s="38" t="str">
        <f>IFERROR(IF(VLOOKUP(C93,$K$2:$AZ$17,18,FALSE)="","",VLOOKUP(C93,$K$2:$AZ$17,18,FALSE)),"")</f>
        <v/>
      </c>
      <c r="B104" s="37" t="str">
        <f>IFERROR(IF(VLOOKUP(C93,$K$2:$AZ$19,28,FALSE)="","",VLOOKUP(C93,$K$2:$AZ$19,28,FALSE)),"")</f>
        <v/>
      </c>
      <c r="C104" s="178" t="str">
        <f>IFERROR(IF(C93="","",IF(VLOOKUP(C93,$K$2:$AZ$9,29,FALSE)="","",VLOOKUP(C93,$K$2:$AZ$9,29,FALSE))),"")</f>
        <v/>
      </c>
      <c r="D104" s="179"/>
      <c r="E104" s="180" t="str">
        <f>IFERROR(IF(C93="","",IF(VLOOKUP(C93,$K$2:$AZ$9,30,FALSE)="","",E94+VLOOKUP(C93,$K$2:$AZ$9,30,FALSE))),"")</f>
        <v/>
      </c>
      <c r="F104" s="181"/>
      <c r="G104" s="178" t="str">
        <f>IFERROR(IF(C93="","",IF(VLOOKUP(C93,$K$2:$AZ$9,31,FALSE)="","",VLOOKUP(C93,$K$2:$AZ$9,31,FALSE))),"")</f>
        <v/>
      </c>
      <c r="H104" s="179"/>
      <c r="I104" s="35" t="str">
        <f>IF(I93="","",IF(A104="","",IF(A105=$AC$2,I103+I102+(I105*2),IF(A102=$Z$2,I93*2,I93))))</f>
        <v/>
      </c>
    </row>
    <row r="105" spans="1:9" ht="15.75" x14ac:dyDescent="0.25">
      <c r="A105" s="38" t="str">
        <f>IFERROR(IF(I94="","",IF(VLOOKUP(C93,$K$2:$AZ$17,19,FALSE)="","",VLOOKUP(C93,$K$2:$AZ$17,19,FALSE))),"")</f>
        <v/>
      </c>
      <c r="B105" s="37" t="str">
        <f>IFERROR(IF(A105="","",IF(VLOOKUP(C93,$K$2:$AZ$19,32,FALSE)="","",VLOOKUP(C93,$K$2:$AZ$19,32,FALSE))),"")</f>
        <v/>
      </c>
      <c r="C105" s="178" t="str">
        <f>IFERROR(IF(A105="","",IF(C93="","",IF(VLOOKUP(C93,$K$2:$AZ$9,33,FALSE)="","",VLOOKUP(C93,$K$2:$AZ$9,33,FALSE)))),"")</f>
        <v/>
      </c>
      <c r="D105" s="179"/>
      <c r="E105" s="180" t="str">
        <f>IFERROR(IF(A105="","",IF(C93="","",IF(VLOOKUP(C93,$K$2:$AZ$9,34,FALSE)="","",E94+VLOOKUP(C93,$K$2:$AZ$9,34,FALSE)))),"")</f>
        <v/>
      </c>
      <c r="F105" s="181"/>
      <c r="G105" s="178" t="str">
        <f>IFERROR(IF(A105="","",IF(C93="","",IF(VLOOKUP(C93,$K$2:$AZ$9,35,FALSE)="","",VLOOKUP(C93,$K$2:$AZ$9,35,FALSE)))),"")</f>
        <v/>
      </c>
      <c r="H105" s="179"/>
      <c r="I105" s="35" t="str">
        <f>IF(I93="","",IF(A105="","",I94*I93))</f>
        <v/>
      </c>
    </row>
    <row r="106" spans="1:9" ht="15.75" x14ac:dyDescent="0.25">
      <c r="A106" s="38" t="str">
        <f>IFERROR(IF(I95="","",IF(VLOOKUP($C93,$K$2:$AZ$17,40,FALSE)="","",VLOOKUP($C93,$K$2:$AZ$17,40,FALSE))),"?")</f>
        <v/>
      </c>
      <c r="B106" s="37" t="str">
        <f>IFERROR(IF(A106="","",IF(VLOOKUP($C93,$K$2:$AZ$19,41,FALSE)="","",VLOOKUP($C93,$K$2:$AZ$19,41,FALSE))),"?")</f>
        <v/>
      </c>
      <c r="C106" s="178" t="str">
        <f>IFERROR(IF(A106="","",IF($C93="","",IF(VLOOKUP($C93,$K$2:$AZ$9,42,FALSE)="","",VLOOKUP($C93,$K$2:$AZ$9,42,FALSE)))),"?")</f>
        <v/>
      </c>
      <c r="D106" s="179"/>
      <c r="E106" s="180" t="str">
        <f>IFERROR(IF(A106="","",IF($C93="","",IF(VLOOKUP($C93,$K$2:$BA$9,43,FALSE)="","",$E94+VLOOKUP($C93,$K$2:$BA$9,43,FALSE)))),"?")</f>
        <v/>
      </c>
      <c r="F106" s="181"/>
      <c r="G106" s="178" t="str">
        <f>IFERROR(IF(A106="","",IF($C$3="","",IF(VLOOKUP($C$3,$K$2:$AZ$9,35,FALSE)="","",VLOOKUP($C$3,$K$2:$AZ$9,35,FALSE)))),"?")</f>
        <v/>
      </c>
      <c r="H106" s="179"/>
      <c r="I106" s="35" t="str">
        <f>IF(I95="","",IF(A106="","",I93))</f>
        <v/>
      </c>
    </row>
    <row r="107" spans="1:9" ht="5.0999999999999996" customHeight="1" x14ac:dyDescent="0.25">
      <c r="I107" s="55"/>
    </row>
    <row r="108" spans="1:9" ht="15.75" x14ac:dyDescent="0.25">
      <c r="A108" s="11" t="s">
        <v>40</v>
      </c>
      <c r="B108" s="11"/>
      <c r="C108" s="185" t="str">
        <f>IF('Order Form'!C18="","",'Order Form'!C18)</f>
        <v/>
      </c>
      <c r="D108" s="185"/>
      <c r="E108" s="185"/>
      <c r="F108" s="185"/>
      <c r="G108" s="185"/>
      <c r="H108" s="12" t="s">
        <v>107</v>
      </c>
      <c r="I108" s="54" t="str">
        <f>IF('Order Form'!D18="","",'Order Form'!D18)</f>
        <v/>
      </c>
    </row>
    <row r="109" spans="1:9" ht="15.75" x14ac:dyDescent="0.25">
      <c r="A109" s="11" t="s">
        <v>31</v>
      </c>
      <c r="B109" s="12" t="s">
        <v>24</v>
      </c>
      <c r="C109" s="43" t="str">
        <f>IF('Order Form'!E18="","",'Order Form'!E18)</f>
        <v/>
      </c>
      <c r="D109" s="12" t="s">
        <v>25</v>
      </c>
      <c r="E109" s="43" t="str">
        <f>IF('Order Form'!F18="","",'Order Form'!F18)</f>
        <v/>
      </c>
      <c r="F109" s="13"/>
      <c r="G109" s="39"/>
      <c r="H109" s="12" t="s">
        <v>108</v>
      </c>
      <c r="I109" s="43" t="str">
        <f>IF('Order Form'!I18="","",IF('Order Form'!I18=0,"",'Order Form'!I18))</f>
        <v/>
      </c>
    </row>
    <row r="110" spans="1:9" ht="15.75" x14ac:dyDescent="0.25">
      <c r="A110" s="11"/>
      <c r="B110" s="12"/>
      <c r="C110" s="129"/>
      <c r="D110" s="12"/>
      <c r="E110" s="129"/>
      <c r="F110" s="13"/>
      <c r="G110" s="11"/>
      <c r="H110" s="12" t="s">
        <v>225</v>
      </c>
      <c r="I110" s="131" t="str">
        <f>IF('Order Form'!J18=TRUE,"Yes","")</f>
        <v/>
      </c>
    </row>
    <row r="111" spans="1:9" ht="15.75" x14ac:dyDescent="0.25">
      <c r="A111" s="186" t="s">
        <v>2</v>
      </c>
      <c r="B111" s="186"/>
      <c r="C111" s="186"/>
      <c r="D111" s="186"/>
      <c r="E111" s="186"/>
      <c r="F111" s="186"/>
      <c r="G111" s="186"/>
      <c r="H111" s="186"/>
      <c r="I111" s="186"/>
    </row>
    <row r="112" spans="1:9" ht="15.75" thickBot="1" x14ac:dyDescent="0.3">
      <c r="A112" s="187" t="s">
        <v>26</v>
      </c>
      <c r="B112" s="188"/>
      <c r="C112" s="187" t="s">
        <v>27</v>
      </c>
      <c r="D112" s="188"/>
      <c r="E112" s="187" t="s">
        <v>28</v>
      </c>
      <c r="F112" s="188"/>
      <c r="G112" s="187" t="s">
        <v>106</v>
      </c>
      <c r="H112" s="188"/>
      <c r="I112" s="34" t="s">
        <v>38</v>
      </c>
    </row>
    <row r="113" spans="1:9" ht="16.5" thickTop="1" x14ac:dyDescent="0.25">
      <c r="A113" s="38" t="str">
        <f>IFERROR(IF(VLOOKUP(C108,$K$2:$AZ$17,2,FALSE)="","",VLOOKUP(C108,$K$2:$AZ$17,2,FALSE)),"")</f>
        <v/>
      </c>
      <c r="B113" s="37" t="str">
        <f>IFERROR(IF(VLOOKUP(C108,$K$2:$AZ$19,4,FALSE)="","",VLOOKUP(C108,$K$2:$AZ$19,4,FALSE)),"")</f>
        <v/>
      </c>
      <c r="C113" s="178" t="str">
        <f>IF(B113="","","Height = Height")</f>
        <v/>
      </c>
      <c r="D113" s="179"/>
      <c r="E113" s="180" t="str">
        <f>IF(C113="","",C109)</f>
        <v/>
      </c>
      <c r="F113" s="181"/>
      <c r="G113" s="182" t="str">
        <f>IFERROR(IF(C108="","",IF(VLOOKUP(C108,$K$2:$U$9,7,FALSE)="","",VLOOKUP(C108,$K$2:$U$9,7,FALSE))),"")</f>
        <v/>
      </c>
      <c r="H113" s="183"/>
      <c r="I113" s="117" t="str">
        <f>IF(A113="","",IF(I108="","",VLOOKUP(C108,$K$2:$V$9,12,FALSE)*I108))</f>
        <v/>
      </c>
    </row>
    <row r="114" spans="1:9" ht="15.75" x14ac:dyDescent="0.25">
      <c r="A114" s="38" t="str">
        <f>IFERROR(IF(VLOOKUP(C108,$K$2:$AZ$17,3,FALSE)="","",VLOOKUP(C108,$K$2:$AZ$17,3,FALSE)),"")</f>
        <v/>
      </c>
      <c r="B114" s="37" t="str">
        <f>IFERROR(IF(VLOOKUP(C108,$K$2:$AZ$19,8,FALSE)="","",VLOOKUP(C108,$K$2:$AZ$19,8,FALSE)),"")</f>
        <v/>
      </c>
      <c r="C114" s="178" t="str">
        <f>IF(B114="","","Height = Height")</f>
        <v/>
      </c>
      <c r="D114" s="179"/>
      <c r="E114" s="180" t="str">
        <f>IF(C114="","",C109)</f>
        <v/>
      </c>
      <c r="F114" s="181"/>
      <c r="G114" s="184" t="str">
        <f>IFERROR(IF(C108="","",IF(VLOOKUP(C108,$K$2:$U$9,11,FALSE)="","",VLOOKUP(C108,$K$2:$U$9,11,FALSE))),"")</f>
        <v/>
      </c>
      <c r="H114" s="184"/>
      <c r="I114" s="35" t="str">
        <f>IF(A114="","",IF(I108="","",VLOOKUP(A114,$M$2:$V$9,10,FALSE)*I108))</f>
        <v/>
      </c>
    </row>
    <row r="115" spans="1:9" ht="15.75" x14ac:dyDescent="0.25">
      <c r="A115" s="38" t="str">
        <f>IF('Order Form'!G42&lt;4.5,"",VLOOKUP('Order Form'!C42,'Cutting Sheet'!$K$1:$AW$9,36,FALSE))</f>
        <v/>
      </c>
      <c r="B115" s="37" t="str">
        <f>IFERROR(IF(A115="","",IF(VLOOKUP($C$108,$K$2:$AZ$19,37,FALSE)="","",VLOOKUP($C$108,$K$2:$AZ$19,37,FALSE))),"")</f>
        <v/>
      </c>
      <c r="C115" s="178" t="str">
        <f>IF(A115="","","Height -10")</f>
        <v/>
      </c>
      <c r="D115" s="179"/>
      <c r="E115" s="180" t="str">
        <f>IF(A115="","",C109-10)</f>
        <v/>
      </c>
      <c r="F115" s="181"/>
      <c r="G115" s="178"/>
      <c r="H115" s="179"/>
      <c r="I115" s="35" t="str">
        <f>IF(A115="","",ROUNDUP(I108/2,0))</f>
        <v/>
      </c>
    </row>
    <row r="116" spans="1:9" ht="15.75" x14ac:dyDescent="0.25">
      <c r="A116" s="186" t="s">
        <v>3</v>
      </c>
      <c r="B116" s="189"/>
      <c r="C116" s="186"/>
      <c r="D116" s="186"/>
      <c r="E116" s="186"/>
      <c r="F116" s="186"/>
      <c r="G116" s="186"/>
      <c r="H116" s="186"/>
      <c r="I116" s="186"/>
    </row>
    <row r="117" spans="1:9" ht="15.75" x14ac:dyDescent="0.25">
      <c r="A117" s="38" t="str">
        <f>IFERROR(IF(VLOOKUP(C108,$K$2:$AZ$17,16,FALSE)="","",VLOOKUP(C108,$K$2:$AZ$17,16,FALSE)),"")</f>
        <v/>
      </c>
      <c r="B117" s="37" t="str">
        <f>IFERROR(IF(VLOOKUP(C108,$K$2:$AZ$19,20,FALSE)="","",VLOOKUP(C108,$K$2:$AZ$19,20,FALSE)),"")</f>
        <v/>
      </c>
      <c r="C117" s="178" t="str">
        <f>IFERROR(IF(C108="","",IF(VLOOKUP(C108,$K$2:$AZ$9,21,FALSE)="","",VLOOKUP(C108,$K$2:$AZ$9,21,FALSE))),"")</f>
        <v/>
      </c>
      <c r="D117" s="179"/>
      <c r="E117" s="180" t="str">
        <f>IFERROR(IF(C108="","",IF(VLOOKUP(C108,$K$2:$AZ$9,22,FALSE)="","",E109+VLOOKUP(C108,$K$2:$AZ$9,22,FALSE))),"")</f>
        <v/>
      </c>
      <c r="F117" s="181"/>
      <c r="G117" s="178" t="str">
        <f>IFERROR(IF(C108="","",IF(VLOOKUP(C108,$K$2:$AZ$9,23,FALSE)="","",VLOOKUP(C108,$K$2:$AZ$9,23,FALSE))),"")</f>
        <v/>
      </c>
      <c r="H117" s="179"/>
      <c r="I117" s="35" t="str">
        <f>IF(I108="","",IF(A117="","",IF(A117=$Z$2,I108*2,I108)))</f>
        <v/>
      </c>
    </row>
    <row r="118" spans="1:9" ht="15.75" x14ac:dyDescent="0.25">
      <c r="A118" s="38" t="str">
        <f>IFERROR(IF(VLOOKUP(C108,$K$2:$AZ$17,17,FALSE)="","",VLOOKUP(C108,$K$2:$AZ$17,17,FALSE)),"")</f>
        <v/>
      </c>
      <c r="B118" s="37" t="str">
        <f>IFERROR(IF(VLOOKUP(C108,$K$2:$AZ$19,24,FALSE)="","",VLOOKUP(C108,$K$2:$AZ$19,24,FALSE)),"")</f>
        <v/>
      </c>
      <c r="C118" s="178" t="str">
        <f>IFERROR(IF(C108="","",IF(VLOOKUP(C108,$K$2:$AZ$9,25,FALSE)="","",VLOOKUP(C108,$K$2:$AZ$9,25,FALSE))),"")</f>
        <v/>
      </c>
      <c r="D118" s="179"/>
      <c r="E118" s="180" t="str">
        <f>IFERROR(IF(C108="","",IF(VLOOKUP(C108,$K$2:$AZ$9,26,FALSE)="","",E109+VLOOKUP(C108,$K$2:$AZ$9,26,FALSE))),"")</f>
        <v/>
      </c>
      <c r="F118" s="181"/>
      <c r="G118" s="178" t="str">
        <f>IFERROR(IF(C108="","",IF(VLOOKUP(C108,$K$2:$AZ$9,27,FALSE)="","",VLOOKUP(C108,$K$2:$AZ$9,27,FALSE))),"")</f>
        <v/>
      </c>
      <c r="H118" s="179"/>
      <c r="I118" s="35" t="str">
        <f>IF(I108="","",IF(A118="","",IF(A117=$Z$2,IF(A120=$AC$2,I117+(I120*2),I108*2),I108)))</f>
        <v/>
      </c>
    </row>
    <row r="119" spans="1:9" ht="15.75" x14ac:dyDescent="0.25">
      <c r="A119" s="38" t="str">
        <f>IFERROR(IF(VLOOKUP(C108,$K$2:$AZ$17,18,FALSE)="","",VLOOKUP(C108,$K$2:$AZ$17,18,FALSE)),"")</f>
        <v/>
      </c>
      <c r="B119" s="37" t="str">
        <f>IFERROR(IF(VLOOKUP(C108,$K$2:$AZ$19,28,FALSE)="","",VLOOKUP(C108,$K$2:$AZ$19,28,FALSE)),"")</f>
        <v/>
      </c>
      <c r="C119" s="178" t="str">
        <f>IFERROR(IF(C108="","",IF(VLOOKUP(C108,$K$2:$AZ$9,29,FALSE)="","",VLOOKUP(C108,$K$2:$AZ$9,29,FALSE))),"")</f>
        <v/>
      </c>
      <c r="D119" s="179"/>
      <c r="E119" s="180" t="str">
        <f>IFERROR(IF(C108="","",IF(VLOOKUP(C108,$K$2:$AZ$9,30,FALSE)="","",E109+VLOOKUP(C108,$K$2:$AZ$9,30,FALSE))),"")</f>
        <v/>
      </c>
      <c r="F119" s="181"/>
      <c r="G119" s="178" t="str">
        <f>IFERROR(IF(C108="","",IF(VLOOKUP(C108,$K$2:$AZ$9,31,FALSE)="","",VLOOKUP(C108,$K$2:$AZ$9,31,FALSE))),"")</f>
        <v/>
      </c>
      <c r="H119" s="179"/>
      <c r="I119" s="35" t="str">
        <f>IF(I108="","",IF(A119="","",IF(A120=$AC$2,I118+I117+(I120*2),IF(A117=$Z$2,I108*2,I108))))</f>
        <v/>
      </c>
    </row>
    <row r="120" spans="1:9" ht="15.75" x14ac:dyDescent="0.25">
      <c r="A120" s="38" t="str">
        <f>IFERROR(IF(I109="","",IF(VLOOKUP(C108,$K$2:$AZ$17,19,FALSE)="","",VLOOKUP(C108,$K$2:$AZ$17,19,FALSE))),"")</f>
        <v/>
      </c>
      <c r="B120" s="37" t="str">
        <f>IFERROR(IF(A120="","",IF(VLOOKUP(C108,$K$2:$AZ$19,32,FALSE)="","",VLOOKUP(C108,$K$2:$AZ$19,32,FALSE))),"")</f>
        <v/>
      </c>
      <c r="C120" s="178" t="str">
        <f>IFERROR(IF(A120="","",IF(C108="","",IF(VLOOKUP(C108,$K$2:$AZ$9,33,FALSE)="","",VLOOKUP(C108,$K$2:$AZ$9,33,FALSE)))),"")</f>
        <v/>
      </c>
      <c r="D120" s="179"/>
      <c r="E120" s="180" t="str">
        <f>IFERROR(IF(A120="","",IF(C108="","",IF(VLOOKUP(C108,$K$2:$AZ$9,34,FALSE)="","",E109+VLOOKUP(C108,$K$2:$AZ$9,34,FALSE)))),"")</f>
        <v/>
      </c>
      <c r="F120" s="181"/>
      <c r="G120" s="178" t="str">
        <f>IFERROR(IF(A120="","",IF(C108="","",IF(VLOOKUP(C108,$K$2:$AZ$9,35,FALSE)="","",VLOOKUP(C108,$K$2:$AZ$9,35,FALSE)))),"")</f>
        <v/>
      </c>
      <c r="H120" s="179"/>
      <c r="I120" s="35" t="str">
        <f>IF(I108="","",IF(A120="","",I109*I108))</f>
        <v/>
      </c>
    </row>
    <row r="121" spans="1:9" ht="15.75" x14ac:dyDescent="0.25">
      <c r="A121" s="38" t="str">
        <f>IFERROR(IF(I110="","",IF(VLOOKUP($C108,$K$2:$AZ$17,40,FALSE)="","",VLOOKUP($C108,$K$2:$AZ$17,40,FALSE))),"?")</f>
        <v/>
      </c>
      <c r="B121" s="37" t="str">
        <f>IFERROR(IF(A121="","",IF(VLOOKUP($C108,$K$2:$AZ$19,41,FALSE)="","",VLOOKUP($C108,$K$2:$AZ$19,41,FALSE))),"?")</f>
        <v/>
      </c>
      <c r="C121" s="178" t="str">
        <f>IFERROR(IF(A121="","",IF($C108="","",IF(VLOOKUP($C108,$K$2:$AZ$9,42,FALSE)="","",VLOOKUP($C108,$K$2:$AZ$9,42,FALSE)))),"?")</f>
        <v/>
      </c>
      <c r="D121" s="179"/>
      <c r="E121" s="180" t="str">
        <f>IFERROR(IF(A121="","",IF($C108="","",IF(VLOOKUP($C108,$K$2:$BA$9,43,FALSE)="","",$E109+VLOOKUP($C108,$K$2:$BA$9,43,FALSE)))),"?")</f>
        <v/>
      </c>
      <c r="F121" s="181"/>
      <c r="G121" s="178" t="str">
        <f>IFERROR(IF(A121="","",IF($C$3="","",IF(VLOOKUP($C$3,$K$2:$AZ$9,35,FALSE)="","",VLOOKUP($C$3,$K$2:$AZ$9,35,FALSE)))),"?")</f>
        <v/>
      </c>
      <c r="H121" s="179"/>
      <c r="I121" s="35" t="str">
        <f>IF(I110="","",IF(A121="","",I108))</f>
        <v/>
      </c>
    </row>
    <row r="122" spans="1:9" ht="5.0999999999999996" customHeight="1" x14ac:dyDescent="0.25">
      <c r="I122" s="55"/>
    </row>
    <row r="123" spans="1:9" ht="15.75" x14ac:dyDescent="0.25">
      <c r="A123" s="11" t="s">
        <v>40</v>
      </c>
      <c r="B123" s="11"/>
      <c r="C123" s="185" t="str">
        <f>IF('Order Form'!C19="","",'Order Form'!C19)</f>
        <v/>
      </c>
      <c r="D123" s="185"/>
      <c r="E123" s="185"/>
      <c r="F123" s="185"/>
      <c r="G123" s="185"/>
      <c r="H123" s="12" t="s">
        <v>107</v>
      </c>
      <c r="I123" s="54" t="str">
        <f>IF('Order Form'!D19="","",'Order Form'!D19)</f>
        <v/>
      </c>
    </row>
    <row r="124" spans="1:9" ht="15.75" x14ac:dyDescent="0.25">
      <c r="A124" s="11" t="s">
        <v>31</v>
      </c>
      <c r="B124" s="12" t="s">
        <v>24</v>
      </c>
      <c r="C124" s="43" t="str">
        <f>IF('Order Form'!E19="","",'Order Form'!E19)</f>
        <v/>
      </c>
      <c r="D124" s="12" t="s">
        <v>25</v>
      </c>
      <c r="E124" s="43" t="str">
        <f>IF('Order Form'!F19="","",'Order Form'!F19)</f>
        <v/>
      </c>
      <c r="F124" s="13"/>
      <c r="G124" s="39"/>
      <c r="H124" s="12" t="s">
        <v>108</v>
      </c>
      <c r="I124" s="43" t="str">
        <f>IF('Order Form'!I19="","",IF('Order Form'!I19=0,"",'Order Form'!I19))</f>
        <v/>
      </c>
    </row>
    <row r="125" spans="1:9" ht="15.75" x14ac:dyDescent="0.25">
      <c r="A125" s="11"/>
      <c r="B125" s="12"/>
      <c r="C125" s="129"/>
      <c r="D125" s="12"/>
      <c r="E125" s="129"/>
      <c r="F125" s="13"/>
      <c r="G125" s="11"/>
      <c r="H125" s="12" t="s">
        <v>225</v>
      </c>
      <c r="I125" s="131" t="str">
        <f>IF('Order Form'!J19=TRUE,"Yes","")</f>
        <v/>
      </c>
    </row>
    <row r="126" spans="1:9" ht="15.75" x14ac:dyDescent="0.25">
      <c r="A126" s="186" t="s">
        <v>2</v>
      </c>
      <c r="B126" s="186"/>
      <c r="C126" s="186"/>
      <c r="D126" s="186"/>
      <c r="E126" s="186"/>
      <c r="F126" s="186"/>
      <c r="G126" s="186"/>
      <c r="H126" s="186"/>
      <c r="I126" s="186"/>
    </row>
    <row r="127" spans="1:9" ht="15.75" thickBot="1" x14ac:dyDescent="0.3">
      <c r="A127" s="187" t="s">
        <v>26</v>
      </c>
      <c r="B127" s="188"/>
      <c r="C127" s="187" t="s">
        <v>27</v>
      </c>
      <c r="D127" s="188"/>
      <c r="E127" s="187" t="s">
        <v>28</v>
      </c>
      <c r="F127" s="188"/>
      <c r="G127" s="187" t="s">
        <v>106</v>
      </c>
      <c r="H127" s="188"/>
      <c r="I127" s="34" t="s">
        <v>38</v>
      </c>
    </row>
    <row r="128" spans="1:9" ht="16.5" thickTop="1" x14ac:dyDescent="0.25">
      <c r="A128" s="38" t="str">
        <f>IFERROR(IF(VLOOKUP(C123,$K$2:$AZ$17,2,FALSE)="","",VLOOKUP(C123,$K$2:$AZ$17,2,FALSE)),"")</f>
        <v/>
      </c>
      <c r="B128" s="37" t="str">
        <f>IFERROR(IF(VLOOKUP(C123,$K$2:$AZ$19,4,FALSE)="","",VLOOKUP(C123,$K$2:$AZ$19,4,FALSE)),"")</f>
        <v/>
      </c>
      <c r="C128" s="178" t="str">
        <f>IF(B128="","","Height = Height")</f>
        <v/>
      </c>
      <c r="D128" s="179"/>
      <c r="E128" s="180" t="str">
        <f>IF(C128="","",C124)</f>
        <v/>
      </c>
      <c r="F128" s="181"/>
      <c r="G128" s="182" t="str">
        <f>IFERROR(IF(C123="","",IF(VLOOKUP(C123,$K$2:$U$9,7,FALSE)="","",VLOOKUP(C123,$K$2:$U$9,7,FALSE))),"")</f>
        <v/>
      </c>
      <c r="H128" s="183"/>
      <c r="I128" s="117" t="str">
        <f>IF(A128="","",IF(I123="","",VLOOKUP(C123,$K$2:$V$9,12,FALSE)*I123))</f>
        <v/>
      </c>
    </row>
    <row r="129" spans="1:9" ht="15.75" x14ac:dyDescent="0.25">
      <c r="A129" s="38" t="str">
        <f>IFERROR(IF(VLOOKUP(C123,$K$2:$AZ$17,3,FALSE)="","",VLOOKUP(C123,$K$2:$AZ$17,3,FALSE)),"")</f>
        <v/>
      </c>
      <c r="B129" s="37" t="str">
        <f>IFERROR(IF(VLOOKUP(C123,$K$2:$AZ$19,8,FALSE)="","",VLOOKUP(C123,$K$2:$AZ$19,8,FALSE)),"")</f>
        <v/>
      </c>
      <c r="C129" s="178" t="str">
        <f>IF(B129="","","Height = Height")</f>
        <v/>
      </c>
      <c r="D129" s="179"/>
      <c r="E129" s="180" t="str">
        <f>IF(C129="","",C124)</f>
        <v/>
      </c>
      <c r="F129" s="181"/>
      <c r="G129" s="184" t="str">
        <f>IFERROR(IF(C123="","",IF(VLOOKUP(C123,$K$2:$U$9,11,FALSE)="","",VLOOKUP(C123,$K$2:$U$9,11,FALSE))),"")</f>
        <v/>
      </c>
      <c r="H129" s="184"/>
      <c r="I129" s="35" t="str">
        <f>IF(A129="","",IF(I123="","",VLOOKUP(A129,$M$2:$V$9,10,FALSE)*I123))</f>
        <v/>
      </c>
    </row>
    <row r="130" spans="1:9" ht="15.75" x14ac:dyDescent="0.25">
      <c r="A130" s="38" t="str">
        <f>IF('Order Form'!G69&lt;4.5,"",VLOOKUP('Order Form'!C69,'Cutting Sheet'!$K$1:$AW$9,36,FALSE))</f>
        <v/>
      </c>
      <c r="B130" s="37" t="str">
        <f>IFERROR(IF(A130="","",IF(VLOOKUP($C$123,$K$2:$AZ$19,37,FALSE)="","",VLOOKUP($C$123,$K$2:$AZ$19,37,FALSE))),"")</f>
        <v/>
      </c>
      <c r="C130" s="178" t="str">
        <f>IF(A130="","","Height -10")</f>
        <v/>
      </c>
      <c r="D130" s="179"/>
      <c r="E130" s="180" t="str">
        <f>IF(A130="","",C124-10)</f>
        <v/>
      </c>
      <c r="F130" s="181"/>
      <c r="G130" s="178"/>
      <c r="H130" s="179"/>
      <c r="I130" s="35" t="str">
        <f>IF(A130="","",ROUNDUP(I123/2,0))</f>
        <v/>
      </c>
    </row>
    <row r="131" spans="1:9" ht="15.75" x14ac:dyDescent="0.25">
      <c r="A131" s="186" t="s">
        <v>3</v>
      </c>
      <c r="B131" s="189"/>
      <c r="C131" s="186"/>
      <c r="D131" s="186"/>
      <c r="E131" s="186"/>
      <c r="F131" s="186"/>
      <c r="G131" s="186"/>
      <c r="H131" s="186"/>
      <c r="I131" s="186"/>
    </row>
    <row r="132" spans="1:9" ht="15.75" x14ac:dyDescent="0.25">
      <c r="A132" s="38" t="str">
        <f>IFERROR(IF(VLOOKUP(C123,$K$2:$AZ$17,16,FALSE)="","",VLOOKUP(C123,$K$2:$AZ$17,16,FALSE)),"")</f>
        <v/>
      </c>
      <c r="B132" s="37" t="str">
        <f>IFERROR(IF(VLOOKUP(C123,$K$2:$AZ$19,20,FALSE)="","",VLOOKUP(C123,$K$2:$AZ$19,20,FALSE)),"")</f>
        <v/>
      </c>
      <c r="C132" s="178" t="str">
        <f>IFERROR(IF(C123="","",IF(VLOOKUP(C123,$K$2:$AZ$9,21,FALSE)="","",VLOOKUP(C123,$K$2:$AZ$9,21,FALSE))),"")</f>
        <v/>
      </c>
      <c r="D132" s="179"/>
      <c r="E132" s="180" t="str">
        <f>IFERROR(IF(C123="","",IF(VLOOKUP(C123,$K$2:$AZ$9,22,FALSE)="","",E124+VLOOKUP(C123,$K$2:$AZ$9,22,FALSE))),"")</f>
        <v/>
      </c>
      <c r="F132" s="181"/>
      <c r="G132" s="178" t="str">
        <f>IFERROR(IF(C123="","",IF(VLOOKUP(C123,$K$2:$AZ$9,23,FALSE)="","",VLOOKUP(C123,$K$2:$AZ$9,23,FALSE))),"")</f>
        <v/>
      </c>
      <c r="H132" s="179"/>
      <c r="I132" s="35" t="str">
        <f>IF(I123="","",IF(A132="","",IF(A132=$Z$2,I123*2,I123)))</f>
        <v/>
      </c>
    </row>
    <row r="133" spans="1:9" ht="15.75" x14ac:dyDescent="0.25">
      <c r="A133" s="38" t="str">
        <f>IFERROR(IF(VLOOKUP(C123,$K$2:$AZ$17,17,FALSE)="","",VLOOKUP(C123,$K$2:$AZ$17,17,FALSE)),"")</f>
        <v/>
      </c>
      <c r="B133" s="37" t="str">
        <f>IFERROR(IF(VLOOKUP(C123,$K$2:$AZ$19,24,FALSE)="","",VLOOKUP(C123,$K$2:$AZ$19,24,FALSE)),"")</f>
        <v/>
      </c>
      <c r="C133" s="178" t="str">
        <f>IFERROR(IF(C123="","",IF(VLOOKUP(C123,$K$2:$AZ$9,25,FALSE)="","",VLOOKUP(C123,$K$2:$AZ$9,25,FALSE))),"")</f>
        <v/>
      </c>
      <c r="D133" s="179"/>
      <c r="E133" s="180" t="str">
        <f>IFERROR(IF(C123="","",IF(VLOOKUP(C123,$K$2:$AZ$9,26,FALSE)="","",E124+VLOOKUP(C123,$K$2:$AZ$9,26,FALSE))),"")</f>
        <v/>
      </c>
      <c r="F133" s="181"/>
      <c r="G133" s="178" t="str">
        <f>IFERROR(IF(C123="","",IF(VLOOKUP(C123,$K$2:$AZ$9,27,FALSE)="","",VLOOKUP(C123,$K$2:$AZ$9,27,FALSE))),"")</f>
        <v/>
      </c>
      <c r="H133" s="179"/>
      <c r="I133" s="35" t="str">
        <f>IF(I123="","",IF(A133="","",IF(A132=$Z$2,IF(A135=$AC$2,I132+(I135*2),I123*2),I123)))</f>
        <v/>
      </c>
    </row>
    <row r="134" spans="1:9" ht="15.75" x14ac:dyDescent="0.25">
      <c r="A134" s="38" t="str">
        <f>IFERROR(IF(VLOOKUP(C123,$K$2:$AZ$17,18,FALSE)="","",VLOOKUP(C123,$K$2:$AZ$17,18,FALSE)),"")</f>
        <v/>
      </c>
      <c r="B134" s="37" t="str">
        <f>IFERROR(IF(VLOOKUP(C123,$K$2:$AZ$19,28,FALSE)="","",VLOOKUP(C123,$K$2:$AZ$19,28,FALSE)),"")</f>
        <v/>
      </c>
      <c r="C134" s="178" t="str">
        <f>IFERROR(IF(C123="","",IF(VLOOKUP(C123,$K$2:$AZ$9,29,FALSE)="","",VLOOKUP(C123,$K$2:$AZ$9,29,FALSE))),"")</f>
        <v/>
      </c>
      <c r="D134" s="179"/>
      <c r="E134" s="180" t="str">
        <f>IFERROR(IF(C123="","",IF(VLOOKUP(C123,$K$2:$AZ$9,30,FALSE)="","",E124+VLOOKUP(C123,$K$2:$AZ$9,30,FALSE))),"")</f>
        <v/>
      </c>
      <c r="F134" s="181"/>
      <c r="G134" s="178" t="str">
        <f>IFERROR(IF(C123="","",IF(VLOOKUP(C123,$K$2:$AZ$9,31,FALSE)="","",VLOOKUP(C123,$K$2:$AZ$9,31,FALSE))),"")</f>
        <v/>
      </c>
      <c r="H134" s="179"/>
      <c r="I134" s="35" t="str">
        <f>IF(I123="","",IF(A134="","",IF(A135=$AC$2,I133+I132+(I135*2),IF(A132=$Z$2,I123*2,I123))))</f>
        <v/>
      </c>
    </row>
    <row r="135" spans="1:9" ht="15.75" x14ac:dyDescent="0.25">
      <c r="A135" s="38" t="str">
        <f>IFERROR(IF(I124="","",IF(VLOOKUP(C123,$K$2:$AZ$17,19,FALSE)="","",VLOOKUP(C123,$K$2:$AZ$17,19,FALSE))),"")</f>
        <v/>
      </c>
      <c r="B135" s="37" t="str">
        <f>IFERROR(IF(A135="","",IF(VLOOKUP(C123,$K$2:$AZ$19,32,FALSE)="","",VLOOKUP(C123,$K$2:$AZ$19,32,FALSE))),"")</f>
        <v/>
      </c>
      <c r="C135" s="178" t="str">
        <f>IFERROR(IF(A135="","",IF(C123="","",IF(VLOOKUP(C123,$K$2:$AZ$9,33,FALSE)="","",VLOOKUP(C123,$K$2:$AZ$9,33,FALSE)))),"")</f>
        <v/>
      </c>
      <c r="D135" s="179"/>
      <c r="E135" s="180" t="str">
        <f>IFERROR(IF(A135="","",IF(C123="","",IF(VLOOKUP(C123,$K$2:$AZ$9,34,FALSE)="","",E124+VLOOKUP(C123,$K$2:$AZ$9,34,FALSE)))),"")</f>
        <v/>
      </c>
      <c r="F135" s="181"/>
      <c r="G135" s="178" t="str">
        <f>IFERROR(IF(A135="","",IF(C123="","",IF(VLOOKUP(C123,$K$2:$AZ$9,35,FALSE)="","",VLOOKUP(C123,$K$2:$AZ$9,35,FALSE)))),"")</f>
        <v/>
      </c>
      <c r="H135" s="179"/>
      <c r="I135" s="35" t="str">
        <f>IF(I123="","",IF(A135="","",I124*I123))</f>
        <v/>
      </c>
    </row>
    <row r="136" spans="1:9" ht="15.75" x14ac:dyDescent="0.25">
      <c r="A136" s="38" t="str">
        <f>IFERROR(IF(I125="","",IF(VLOOKUP($C123,$K$2:$AZ$17,40,FALSE)="","",VLOOKUP($C123,$K$2:$AZ$17,40,FALSE))),"?")</f>
        <v/>
      </c>
      <c r="B136" s="37" t="str">
        <f>IFERROR(IF(A136="","",IF(VLOOKUP($C123,$K$2:$AZ$19,41,FALSE)="","",VLOOKUP($C123,$K$2:$AZ$19,41,FALSE))),"?")</f>
        <v/>
      </c>
      <c r="C136" s="178" t="str">
        <f>IFERROR(IF(A136="","",IF($C123="","",IF(VLOOKUP($C123,$K$2:$AZ$9,42,FALSE)="","",VLOOKUP($C123,$K$2:$AZ$9,42,FALSE)))),"?")</f>
        <v/>
      </c>
      <c r="D136" s="179"/>
      <c r="E136" s="180" t="str">
        <f>IFERROR(IF(A136="","",IF($C123="","",IF(VLOOKUP($C123,$K$2:$BA$9,43,FALSE)="","",$E124+VLOOKUP($C123,$K$2:$BA$9,43,FALSE)))),"?")</f>
        <v/>
      </c>
      <c r="F136" s="181"/>
      <c r="G136" s="178" t="str">
        <f>IFERROR(IF(A136="","",IF($C$3="","",IF(VLOOKUP($C$3,$K$2:$AZ$9,35,FALSE)="","",VLOOKUP($C$3,$K$2:$AZ$9,35,FALSE)))),"?")</f>
        <v/>
      </c>
      <c r="H136" s="179"/>
      <c r="I136" s="35" t="str">
        <f>IF(I125="","",IF(A136="","",I123))</f>
        <v/>
      </c>
    </row>
    <row r="137" spans="1:9" ht="5.0999999999999996" customHeight="1" x14ac:dyDescent="0.25">
      <c r="I137" s="55"/>
    </row>
  </sheetData>
  <sheetProtection algorithmName="SHA-512" hashValue="OBHFklNQ5XjKypZ9qvPra+I38TCkyyl+Ma+vKK9UqCWc4pZpslbUbkVQ37mtaDh4Q3Lg4yuy4j2Y17y/afa+dA==" saltValue="RiV5sO8NHJD+y2NxopijEQ==" spinCount="100000" sheet="1" selectLockedCells="1"/>
  <sortState xmlns:xlrd2="http://schemas.microsoft.com/office/spreadsheetml/2017/richdata2" ref="K3:K10">
    <sortCondition ref="K6:K11"/>
  </sortState>
  <mergeCells count="281">
    <mergeCell ref="C104:D104"/>
    <mergeCell ref="E104:F104"/>
    <mergeCell ref="G104:H104"/>
    <mergeCell ref="C105:D105"/>
    <mergeCell ref="E105:F105"/>
    <mergeCell ref="G105:H105"/>
    <mergeCell ref="C106:D106"/>
    <mergeCell ref="E106:F106"/>
    <mergeCell ref="G106:H106"/>
    <mergeCell ref="E97:F97"/>
    <mergeCell ref="G97:H97"/>
    <mergeCell ref="C98:D98"/>
    <mergeCell ref="E98:F98"/>
    <mergeCell ref="G98:H98"/>
    <mergeCell ref="C99:D99"/>
    <mergeCell ref="E99:F99"/>
    <mergeCell ref="G99:H99"/>
    <mergeCell ref="E103:F103"/>
    <mergeCell ref="G103:H103"/>
    <mergeCell ref="C136:D136"/>
    <mergeCell ref="E136:F136"/>
    <mergeCell ref="G136:H136"/>
    <mergeCell ref="C133:D133"/>
    <mergeCell ref="E133:F133"/>
    <mergeCell ref="G133:H133"/>
    <mergeCell ref="C134:D134"/>
    <mergeCell ref="E134:F134"/>
    <mergeCell ref="G134:H134"/>
    <mergeCell ref="C135:D135"/>
    <mergeCell ref="E135:F135"/>
    <mergeCell ref="G135:H135"/>
    <mergeCell ref="E130:F130"/>
    <mergeCell ref="G130:H130"/>
    <mergeCell ref="A131:I131"/>
    <mergeCell ref="C132:D132"/>
    <mergeCell ref="E132:F132"/>
    <mergeCell ref="G132:H132"/>
    <mergeCell ref="C123:G123"/>
    <mergeCell ref="A126:I126"/>
    <mergeCell ref="A127:B127"/>
    <mergeCell ref="C127:D127"/>
    <mergeCell ref="E127:F127"/>
    <mergeCell ref="G127:H127"/>
    <mergeCell ref="C128:D128"/>
    <mergeCell ref="E128:F128"/>
    <mergeCell ref="G128:H128"/>
    <mergeCell ref="C129:D129"/>
    <mergeCell ref="E129:F129"/>
    <mergeCell ref="G129:H129"/>
    <mergeCell ref="C130:D130"/>
    <mergeCell ref="C113:D113"/>
    <mergeCell ref="E113:F113"/>
    <mergeCell ref="G113:H113"/>
    <mergeCell ref="G114:H114"/>
    <mergeCell ref="G115:H115"/>
    <mergeCell ref="A116:I116"/>
    <mergeCell ref="G117:H117"/>
    <mergeCell ref="C118:D118"/>
    <mergeCell ref="E118:F118"/>
    <mergeCell ref="G118:H118"/>
    <mergeCell ref="C117:D117"/>
    <mergeCell ref="E117:F117"/>
    <mergeCell ref="C114:D114"/>
    <mergeCell ref="E114:F114"/>
    <mergeCell ref="C115:D115"/>
    <mergeCell ref="E115:F115"/>
    <mergeCell ref="C121:D121"/>
    <mergeCell ref="E121:F121"/>
    <mergeCell ref="C119:D119"/>
    <mergeCell ref="E119:F119"/>
    <mergeCell ref="C120:D120"/>
    <mergeCell ref="E120:F120"/>
    <mergeCell ref="G119:H119"/>
    <mergeCell ref="G120:H120"/>
    <mergeCell ref="G121:H121"/>
    <mergeCell ref="C108:G108"/>
    <mergeCell ref="A111:I111"/>
    <mergeCell ref="A112:B112"/>
    <mergeCell ref="C112:D112"/>
    <mergeCell ref="E112:F112"/>
    <mergeCell ref="G112:H112"/>
    <mergeCell ref="C93:G93"/>
    <mergeCell ref="A97:B97"/>
    <mergeCell ref="C89:D89"/>
    <mergeCell ref="E89:F89"/>
    <mergeCell ref="G89:H89"/>
    <mergeCell ref="C90:D90"/>
    <mergeCell ref="E90:F90"/>
    <mergeCell ref="G90:H90"/>
    <mergeCell ref="C100:D100"/>
    <mergeCell ref="E100:F100"/>
    <mergeCell ref="G100:H100"/>
    <mergeCell ref="A101:I101"/>
    <mergeCell ref="C102:D102"/>
    <mergeCell ref="E102:F102"/>
    <mergeCell ref="G102:H102"/>
    <mergeCell ref="C103:D103"/>
    <mergeCell ref="A96:I96"/>
    <mergeCell ref="C97:D97"/>
    <mergeCell ref="A86:I86"/>
    <mergeCell ref="C87:D87"/>
    <mergeCell ref="E87:F87"/>
    <mergeCell ref="G87:H87"/>
    <mergeCell ref="C88:D88"/>
    <mergeCell ref="E88:F88"/>
    <mergeCell ref="G88:H88"/>
    <mergeCell ref="C84:D84"/>
    <mergeCell ref="E84:F84"/>
    <mergeCell ref="G84:H84"/>
    <mergeCell ref="C85:D85"/>
    <mergeCell ref="E85:F85"/>
    <mergeCell ref="G85:H85"/>
    <mergeCell ref="A82:B82"/>
    <mergeCell ref="C82:D82"/>
    <mergeCell ref="E82:F82"/>
    <mergeCell ref="G82:H82"/>
    <mergeCell ref="C83:D83"/>
    <mergeCell ref="E83:F83"/>
    <mergeCell ref="G83:H83"/>
    <mergeCell ref="C75:D75"/>
    <mergeCell ref="E75:F75"/>
    <mergeCell ref="G75:H75"/>
    <mergeCell ref="C78:G78"/>
    <mergeCell ref="A81:I81"/>
    <mergeCell ref="C74:D74"/>
    <mergeCell ref="E74:F74"/>
    <mergeCell ref="G74:H74"/>
    <mergeCell ref="C70:D70"/>
    <mergeCell ref="E70:F70"/>
    <mergeCell ref="G70:H70"/>
    <mergeCell ref="A71:I71"/>
    <mergeCell ref="C72:D72"/>
    <mergeCell ref="E72:F72"/>
    <mergeCell ref="G72:H72"/>
    <mergeCell ref="C59:D59"/>
    <mergeCell ref="E59:F59"/>
    <mergeCell ref="G59:H59"/>
    <mergeCell ref="C60:D60"/>
    <mergeCell ref="E60:F60"/>
    <mergeCell ref="G60:H60"/>
    <mergeCell ref="A56:I56"/>
    <mergeCell ref="C57:D57"/>
    <mergeCell ref="E57:F57"/>
    <mergeCell ref="G57:H57"/>
    <mergeCell ref="C58:D58"/>
    <mergeCell ref="E58:F58"/>
    <mergeCell ref="G58:H58"/>
    <mergeCell ref="C55:D55"/>
    <mergeCell ref="E55:F55"/>
    <mergeCell ref="G55:H55"/>
    <mergeCell ref="C53:D53"/>
    <mergeCell ref="E53:F53"/>
    <mergeCell ref="G53:H53"/>
    <mergeCell ref="C54:D54"/>
    <mergeCell ref="E54:F54"/>
    <mergeCell ref="G54:H54"/>
    <mergeCell ref="C48:G48"/>
    <mergeCell ref="A51:I51"/>
    <mergeCell ref="A52:B52"/>
    <mergeCell ref="C52:D52"/>
    <mergeCell ref="E52:F52"/>
    <mergeCell ref="G52:H52"/>
    <mergeCell ref="C44:D44"/>
    <mergeCell ref="E44:F44"/>
    <mergeCell ref="G44:H44"/>
    <mergeCell ref="C45:D45"/>
    <mergeCell ref="E45:F45"/>
    <mergeCell ref="G45:H45"/>
    <mergeCell ref="A41:I41"/>
    <mergeCell ref="C42:D42"/>
    <mergeCell ref="E42:F42"/>
    <mergeCell ref="G42:H42"/>
    <mergeCell ref="C43:D43"/>
    <mergeCell ref="E43:F43"/>
    <mergeCell ref="G43:H43"/>
    <mergeCell ref="C40:D40"/>
    <mergeCell ref="E40:F40"/>
    <mergeCell ref="G40:H40"/>
    <mergeCell ref="C38:D38"/>
    <mergeCell ref="E38:F38"/>
    <mergeCell ref="G38:H38"/>
    <mergeCell ref="C39:D39"/>
    <mergeCell ref="E39:F39"/>
    <mergeCell ref="G39:H39"/>
    <mergeCell ref="C33:G33"/>
    <mergeCell ref="A36:I36"/>
    <mergeCell ref="A37:B37"/>
    <mergeCell ref="C37:D37"/>
    <mergeCell ref="E37:F37"/>
    <mergeCell ref="G37:H37"/>
    <mergeCell ref="C29:D29"/>
    <mergeCell ref="E29:F29"/>
    <mergeCell ref="G29:H29"/>
    <mergeCell ref="C30:D30"/>
    <mergeCell ref="E30:F30"/>
    <mergeCell ref="G30:H30"/>
    <mergeCell ref="A26:I26"/>
    <mergeCell ref="C27:D27"/>
    <mergeCell ref="E27:F27"/>
    <mergeCell ref="G27:H27"/>
    <mergeCell ref="C28:D28"/>
    <mergeCell ref="E28:F28"/>
    <mergeCell ref="G28:H28"/>
    <mergeCell ref="C15:D15"/>
    <mergeCell ref="E15:F15"/>
    <mergeCell ref="G15:H15"/>
    <mergeCell ref="C12:D12"/>
    <mergeCell ref="E12:F12"/>
    <mergeCell ref="G13:H13"/>
    <mergeCell ref="C13:D13"/>
    <mergeCell ref="E13:F13"/>
    <mergeCell ref="C14:D14"/>
    <mergeCell ref="E14:F14"/>
    <mergeCell ref="G14:H14"/>
    <mergeCell ref="C3:G3"/>
    <mergeCell ref="A1:I1"/>
    <mergeCell ref="G9:H9"/>
    <mergeCell ref="C2:G2"/>
    <mergeCell ref="C7:D7"/>
    <mergeCell ref="E7:F7"/>
    <mergeCell ref="C8:D8"/>
    <mergeCell ref="E8:F8"/>
    <mergeCell ref="A6:I6"/>
    <mergeCell ref="C10:D10"/>
    <mergeCell ref="A11:I11"/>
    <mergeCell ref="G12:H12"/>
    <mergeCell ref="A7:B7"/>
    <mergeCell ref="G7:H7"/>
    <mergeCell ref="G8:H8"/>
    <mergeCell ref="C9:D9"/>
    <mergeCell ref="E9:F9"/>
    <mergeCell ref="E10:F10"/>
    <mergeCell ref="G10:H10"/>
    <mergeCell ref="C16:D16"/>
    <mergeCell ref="E16:F16"/>
    <mergeCell ref="G16:H16"/>
    <mergeCell ref="C31:D31"/>
    <mergeCell ref="E31:F31"/>
    <mergeCell ref="G31:H31"/>
    <mergeCell ref="C46:D46"/>
    <mergeCell ref="E46:F46"/>
    <mergeCell ref="G46:H46"/>
    <mergeCell ref="C18:G18"/>
    <mergeCell ref="A21:I21"/>
    <mergeCell ref="A22:B22"/>
    <mergeCell ref="C22:D22"/>
    <mergeCell ref="E22:F22"/>
    <mergeCell ref="G22:H22"/>
    <mergeCell ref="C25:D25"/>
    <mergeCell ref="E25:F25"/>
    <mergeCell ref="G25:H25"/>
    <mergeCell ref="C23:D23"/>
    <mergeCell ref="E23:F23"/>
    <mergeCell ref="G23:H23"/>
    <mergeCell ref="C24:D24"/>
    <mergeCell ref="E24:F24"/>
    <mergeCell ref="G24:H24"/>
    <mergeCell ref="C61:D61"/>
    <mergeCell ref="E61:F61"/>
    <mergeCell ref="G61:H61"/>
    <mergeCell ref="C76:D76"/>
    <mergeCell ref="E76:F76"/>
    <mergeCell ref="G76:H76"/>
    <mergeCell ref="C91:D91"/>
    <mergeCell ref="E91:F91"/>
    <mergeCell ref="G91:H91"/>
    <mergeCell ref="C68:D68"/>
    <mergeCell ref="E68:F68"/>
    <mergeCell ref="G68:H68"/>
    <mergeCell ref="C69:D69"/>
    <mergeCell ref="E69:F69"/>
    <mergeCell ref="G69:H69"/>
    <mergeCell ref="C63:G63"/>
    <mergeCell ref="A66:I66"/>
    <mergeCell ref="A67:B67"/>
    <mergeCell ref="C67:D67"/>
    <mergeCell ref="E67:F67"/>
    <mergeCell ref="G67:H67"/>
    <mergeCell ref="C73:D73"/>
    <mergeCell ref="E73:F73"/>
    <mergeCell ref="G73:H73"/>
  </mergeCells>
  <printOptions horizontalCentered="1" verticalCentered="1"/>
  <pageMargins left="0.51181102362204722" right="0.51181102362204722" top="0.35433070866141736" bottom="0.35433070866141736" header="0.31496062992125984" footer="0.31496062992125984"/>
  <pageSetup paperSize="9" fitToWidth="0" fitToHeight="0" orientation="portrait" r:id="rId1"/>
  <rowBreaks count="2" manualBreakCount="2">
    <brk id="47" max="8" man="1"/>
    <brk id="9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Order Form</vt:lpstr>
      <vt:lpstr>Swings</vt:lpstr>
      <vt:lpstr>Locksets</vt:lpstr>
      <vt:lpstr>Formulas</vt:lpstr>
      <vt:lpstr>Cutting Sheet</vt:lpstr>
      <vt:lpstr>Swings!Check14</vt:lpstr>
      <vt:lpstr>Swings!Check15</vt:lpstr>
      <vt:lpstr>Swings!Check16</vt:lpstr>
      <vt:lpstr>Swings!Check17</vt:lpstr>
      <vt:lpstr>Swings!Check18</vt:lpstr>
      <vt:lpstr>Swings!Check19</vt:lpstr>
      <vt:lpstr>'Cutting Sheet'!Print_Area</vt:lpstr>
      <vt:lpstr>Formulas!Print_Area</vt:lpstr>
      <vt:lpstr>'Order Form'!Print_Area</vt:lpstr>
      <vt:lpstr>'Cutting Sheet'!Print_Titles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Window</dc:creator>
  <cp:lastModifiedBy>Jodie - Brisbane Digital Co</cp:lastModifiedBy>
  <cp:lastPrinted>2025-12-03T01:50:49Z</cp:lastPrinted>
  <dcterms:created xsi:type="dcterms:W3CDTF">2017-07-22T22:26:12Z</dcterms:created>
  <dcterms:modified xsi:type="dcterms:W3CDTF">2026-07-09T02:04:06Z</dcterms:modified>
</cp:coreProperties>
</file>